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9270" activeTab="3"/>
  </bookViews>
  <sheets>
    <sheet name="1 квартал 2013" sheetId="1" r:id="rId1"/>
    <sheet name="2 квартал 2013" sheetId="2" r:id="rId2"/>
    <sheet name="3 квартал 2013" sheetId="3" r:id="rId3"/>
    <sheet name="4 квартал 2013 г." sheetId="4" r:id="rId4"/>
  </sheets>
  <calcPr calcId="145621"/>
</workbook>
</file>

<file path=xl/calcChain.xml><?xml version="1.0" encoding="utf-8"?>
<calcChain xmlns="http://schemas.openxmlformats.org/spreadsheetml/2006/main">
  <c r="K5" i="4" l="1"/>
  <c r="I20" i="4"/>
  <c r="I7" i="4"/>
  <c r="I5" i="4"/>
  <c r="I23" i="4"/>
  <c r="I28" i="4"/>
  <c r="I34" i="4"/>
  <c r="I6" i="4"/>
  <c r="I29" i="4"/>
  <c r="I22" i="4"/>
  <c r="I15" i="4"/>
  <c r="O14" i="4"/>
  <c r="I32" i="4"/>
  <c r="I12" i="4"/>
  <c r="J34" i="4"/>
  <c r="K34" i="4"/>
  <c r="O16" i="4"/>
  <c r="I27" i="4"/>
  <c r="H43" i="4"/>
  <c r="G43" i="4"/>
  <c r="O42" i="4"/>
  <c r="H42" i="4"/>
  <c r="G42" i="4"/>
  <c r="O40" i="4"/>
  <c r="H40" i="4"/>
  <c r="G40" i="4"/>
  <c r="O39" i="4"/>
  <c r="H39" i="4"/>
  <c r="G39" i="4"/>
  <c r="O38" i="4"/>
  <c r="H38" i="4"/>
  <c r="G38" i="4"/>
  <c r="O35" i="4"/>
  <c r="H35" i="4"/>
  <c r="G35" i="4"/>
  <c r="O34" i="4"/>
  <c r="H34" i="4"/>
  <c r="G34" i="4"/>
  <c r="O33" i="4"/>
  <c r="H33" i="4"/>
  <c r="G33" i="4"/>
  <c r="J33" i="4" s="1"/>
  <c r="K33" i="4" s="1"/>
  <c r="O32" i="4"/>
  <c r="H32" i="4"/>
  <c r="G32" i="4"/>
  <c r="O31" i="4"/>
  <c r="H31" i="4"/>
  <c r="G31" i="4"/>
  <c r="J31" i="4" s="1"/>
  <c r="K31" i="4" s="1"/>
  <c r="O30" i="4"/>
  <c r="H30" i="4"/>
  <c r="G30" i="4"/>
  <c r="O29" i="4"/>
  <c r="H29" i="4"/>
  <c r="G29" i="4"/>
  <c r="J29" i="4" s="1"/>
  <c r="K29" i="4" s="1"/>
  <c r="O28" i="4"/>
  <c r="H28" i="4"/>
  <c r="G28" i="4"/>
  <c r="O27" i="4"/>
  <c r="H27" i="4"/>
  <c r="G27" i="4"/>
  <c r="O26" i="4"/>
  <c r="H26" i="4"/>
  <c r="G26" i="4"/>
  <c r="J26" i="4" s="1"/>
  <c r="K26" i="4" s="1"/>
  <c r="O25" i="4"/>
  <c r="H25" i="4"/>
  <c r="G25" i="4"/>
  <c r="O24" i="4"/>
  <c r="H24" i="4"/>
  <c r="G24" i="4"/>
  <c r="O23" i="4"/>
  <c r="H23" i="4"/>
  <c r="G23" i="4"/>
  <c r="O22" i="4"/>
  <c r="H22" i="4"/>
  <c r="G22" i="4"/>
  <c r="O21" i="4"/>
  <c r="H21" i="4"/>
  <c r="G21" i="4"/>
  <c r="O20" i="4"/>
  <c r="H20" i="4"/>
  <c r="G20" i="4"/>
  <c r="O17" i="4"/>
  <c r="H17" i="4"/>
  <c r="G17" i="4"/>
  <c r="J17" i="4" s="1"/>
  <c r="K17" i="4" s="1"/>
  <c r="H16" i="4"/>
  <c r="G16" i="4"/>
  <c r="O15" i="4"/>
  <c r="H15" i="4"/>
  <c r="G15" i="4"/>
  <c r="H14" i="4"/>
  <c r="G14" i="4"/>
  <c r="O13" i="4"/>
  <c r="H13" i="4"/>
  <c r="G13" i="4"/>
  <c r="O12" i="4"/>
  <c r="H12" i="4"/>
  <c r="G12" i="4"/>
  <c r="J12" i="4" s="1"/>
  <c r="K12" i="4" s="1"/>
  <c r="O11" i="4"/>
  <c r="H11" i="4"/>
  <c r="G11" i="4"/>
  <c r="O10" i="4"/>
  <c r="H10" i="4"/>
  <c r="J10" i="4" s="1"/>
  <c r="K10" i="4" s="1"/>
  <c r="G10" i="4"/>
  <c r="O9" i="4"/>
  <c r="H9" i="4"/>
  <c r="J9" i="4" s="1"/>
  <c r="K9" i="4" s="1"/>
  <c r="G9" i="4"/>
  <c r="O8" i="4"/>
  <c r="H8" i="4"/>
  <c r="G8" i="4"/>
  <c r="O7" i="4"/>
  <c r="H7" i="4"/>
  <c r="G7" i="4"/>
  <c r="O6" i="4"/>
  <c r="H6" i="4"/>
  <c r="G6" i="4"/>
  <c r="O5" i="4"/>
  <c r="H5" i="4"/>
  <c r="G5" i="4"/>
  <c r="J43" i="4" l="1"/>
  <c r="K43" i="4" s="1"/>
  <c r="J40" i="4"/>
  <c r="K40" i="4" s="1"/>
  <c r="J22" i="4"/>
  <c r="K22" i="4" s="1"/>
  <c r="J20" i="4"/>
  <c r="K20" i="4" s="1"/>
  <c r="J15" i="4"/>
  <c r="K15" i="4" s="1"/>
  <c r="J13" i="4"/>
  <c r="K13" i="4" s="1"/>
  <c r="J8" i="4"/>
  <c r="K8" i="4" s="1"/>
  <c r="J6" i="4"/>
  <c r="K6" i="4" s="1"/>
  <c r="J42" i="4"/>
  <c r="J38" i="4"/>
  <c r="K38" i="4" s="1"/>
  <c r="J39" i="4"/>
  <c r="K39" i="4" s="1"/>
  <c r="J21" i="4"/>
  <c r="K21" i="4" s="1"/>
  <c r="J23" i="4"/>
  <c r="K23" i="4" s="1"/>
  <c r="J24" i="4"/>
  <c r="K24" i="4" s="1"/>
  <c r="J25" i="4"/>
  <c r="K25" i="4" s="1"/>
  <c r="J27" i="4"/>
  <c r="K27" i="4" s="1"/>
  <c r="J28" i="4"/>
  <c r="K28" i="4" s="1"/>
  <c r="J30" i="4"/>
  <c r="K30" i="4" s="1"/>
  <c r="J32" i="4"/>
  <c r="K32" i="4" s="1"/>
  <c r="J35" i="4"/>
  <c r="K35" i="4" s="1"/>
  <c r="J5" i="4"/>
  <c r="J7" i="4"/>
  <c r="K7" i="4" s="1"/>
  <c r="J11" i="4"/>
  <c r="K11" i="4" s="1"/>
  <c r="J14" i="4"/>
  <c r="K14" i="4" s="1"/>
  <c r="J16" i="4"/>
  <c r="K16" i="4" s="1"/>
  <c r="O17" i="1"/>
  <c r="K6" i="3" l="1"/>
  <c r="K7" i="3" l="1"/>
  <c r="I10" i="3" l="1"/>
  <c r="O10" i="3"/>
  <c r="I27" i="3"/>
  <c r="I24" i="3"/>
  <c r="I23" i="3"/>
  <c r="I9" i="3"/>
  <c r="H43" i="3"/>
  <c r="G43" i="3"/>
  <c r="I13" i="3"/>
  <c r="I34" i="3"/>
  <c r="J43" i="3"/>
  <c r="K43" i="3" s="1"/>
  <c r="I39" i="3"/>
  <c r="I38" i="3"/>
  <c r="O42" i="3"/>
  <c r="G42" i="3"/>
  <c r="H42" i="3"/>
  <c r="O40" i="3"/>
  <c r="G40" i="3"/>
  <c r="O39" i="3"/>
  <c r="G39" i="3"/>
  <c r="O38" i="3"/>
  <c r="G38" i="3"/>
  <c r="O35" i="3"/>
  <c r="G35" i="3"/>
  <c r="O34" i="3"/>
  <c r="G34" i="3"/>
  <c r="O33" i="3"/>
  <c r="G33" i="3"/>
  <c r="O32" i="3"/>
  <c r="G32" i="3"/>
  <c r="O31" i="3"/>
  <c r="G31" i="3"/>
  <c r="O30" i="3"/>
  <c r="G30" i="3"/>
  <c r="O29" i="3"/>
  <c r="G29" i="3"/>
  <c r="O28" i="3"/>
  <c r="G28" i="3"/>
  <c r="O27" i="3"/>
  <c r="G27" i="3"/>
  <c r="O26" i="3"/>
  <c r="G26" i="3"/>
  <c r="O25" i="3"/>
  <c r="G25" i="3"/>
  <c r="O24" i="3"/>
  <c r="G24" i="3"/>
  <c r="O23" i="3"/>
  <c r="G23" i="3"/>
  <c r="O22" i="3"/>
  <c r="G22" i="3"/>
  <c r="O21" i="3"/>
  <c r="G21" i="3"/>
  <c r="O20" i="3"/>
  <c r="G20" i="3"/>
  <c r="O17" i="3"/>
  <c r="G17" i="3"/>
  <c r="O16" i="3"/>
  <c r="G16" i="3"/>
  <c r="O15" i="3"/>
  <c r="G15" i="3"/>
  <c r="O14" i="3"/>
  <c r="G14" i="3"/>
  <c r="O13" i="3"/>
  <c r="G13" i="3"/>
  <c r="O12" i="3"/>
  <c r="G12" i="3"/>
  <c r="O11" i="3"/>
  <c r="G11" i="3"/>
  <c r="G10" i="3"/>
  <c r="O9" i="3"/>
  <c r="G9" i="3"/>
  <c r="O8" i="3"/>
  <c r="G8" i="3"/>
  <c r="H8" i="3"/>
  <c r="O7" i="3"/>
  <c r="G7" i="3"/>
  <c r="O6" i="3"/>
  <c r="G6" i="3"/>
  <c r="H6" i="3"/>
  <c r="O5" i="3"/>
  <c r="G5" i="3"/>
  <c r="J6" i="3" l="1"/>
  <c r="J8" i="3"/>
  <c r="K8" i="3" s="1"/>
  <c r="J42" i="3"/>
  <c r="H9" i="3"/>
  <c r="J9" i="3" s="1"/>
  <c r="K9" i="3" s="1"/>
  <c r="H7" i="3"/>
  <c r="J7" i="3" s="1"/>
  <c r="H10" i="3"/>
  <c r="J10" i="3" s="1"/>
  <c r="K10" i="3" s="1"/>
  <c r="H12" i="3"/>
  <c r="J12" i="3" s="1"/>
  <c r="K12" i="3" s="1"/>
  <c r="H14" i="3"/>
  <c r="J14" i="3" s="1"/>
  <c r="K14" i="3" s="1"/>
  <c r="H17" i="3"/>
  <c r="J17" i="3" s="1"/>
  <c r="K17" i="3" s="1"/>
  <c r="H21" i="3"/>
  <c r="J21" i="3" s="1"/>
  <c r="K21" i="3" s="1"/>
  <c r="H23" i="3"/>
  <c r="J23" i="3" s="1"/>
  <c r="K23" i="3" s="1"/>
  <c r="H25" i="3"/>
  <c r="J25" i="3" s="1"/>
  <c r="K25" i="3" s="1"/>
  <c r="H28" i="3"/>
  <c r="J28" i="3" s="1"/>
  <c r="K28" i="3" s="1"/>
  <c r="H30" i="3"/>
  <c r="J30" i="3" s="1"/>
  <c r="K30" i="3" s="1"/>
  <c r="H32" i="3"/>
  <c r="J32" i="3" s="1"/>
  <c r="K32" i="3" s="1"/>
  <c r="H34" i="3"/>
  <c r="J34" i="3" s="1"/>
  <c r="K34" i="3" s="1"/>
  <c r="H38" i="3"/>
  <c r="J38" i="3" s="1"/>
  <c r="K38" i="3" s="1"/>
  <c r="H40" i="3"/>
  <c r="J40" i="3" s="1"/>
  <c r="K40" i="3" s="1"/>
  <c r="H5" i="3"/>
  <c r="J5" i="3" s="1"/>
  <c r="K5" i="3" s="1"/>
  <c r="H11" i="3"/>
  <c r="J11" i="3" s="1"/>
  <c r="K11" i="3" s="1"/>
  <c r="H13" i="3"/>
  <c r="J13" i="3" s="1"/>
  <c r="K13" i="3" s="1"/>
  <c r="H15" i="3"/>
  <c r="J15" i="3" s="1"/>
  <c r="K15" i="3" s="1"/>
  <c r="H16" i="3"/>
  <c r="J16" i="3" s="1"/>
  <c r="K16" i="3" s="1"/>
  <c r="H20" i="3"/>
  <c r="J20" i="3" s="1"/>
  <c r="K20" i="3" s="1"/>
  <c r="H22" i="3"/>
  <c r="J22" i="3" s="1"/>
  <c r="K22" i="3" s="1"/>
  <c r="H24" i="3"/>
  <c r="J24" i="3" s="1"/>
  <c r="K24" i="3" s="1"/>
  <c r="H26" i="3"/>
  <c r="J26" i="3" s="1"/>
  <c r="K26" i="3" s="1"/>
  <c r="H27" i="3"/>
  <c r="J27" i="3" s="1"/>
  <c r="K27" i="3" s="1"/>
  <c r="H29" i="3"/>
  <c r="J29" i="3" s="1"/>
  <c r="K29" i="3" s="1"/>
  <c r="H31" i="3"/>
  <c r="J31" i="3" s="1"/>
  <c r="K31" i="3" s="1"/>
  <c r="H33" i="3"/>
  <c r="J33" i="3" s="1"/>
  <c r="K33" i="3" s="1"/>
  <c r="H35" i="3"/>
  <c r="J35" i="3" s="1"/>
  <c r="K35" i="3" s="1"/>
  <c r="H39" i="3"/>
  <c r="J39" i="3" s="1"/>
  <c r="K39" i="3" s="1"/>
  <c r="O12" i="2"/>
  <c r="K9" i="1" l="1"/>
  <c r="H42" i="2"/>
  <c r="G42" i="2"/>
  <c r="J39" i="2"/>
  <c r="J40" i="2"/>
  <c r="H39" i="2"/>
  <c r="H40" i="2"/>
  <c r="H38" i="2"/>
  <c r="G39" i="2"/>
  <c r="G40" i="2"/>
  <c r="G38" i="2"/>
  <c r="H35" i="2"/>
  <c r="H34" i="2"/>
  <c r="H31" i="2"/>
  <c r="H32" i="2"/>
  <c r="H33" i="2"/>
  <c r="H30" i="2"/>
  <c r="H29" i="2"/>
  <c r="H21" i="2"/>
  <c r="H22" i="2"/>
  <c r="H23" i="2"/>
  <c r="H24" i="2"/>
  <c r="H25" i="2"/>
  <c r="H26" i="2"/>
  <c r="H27" i="2"/>
  <c r="H28" i="2"/>
  <c r="H20" i="2"/>
  <c r="G35" i="2"/>
  <c r="G34" i="2"/>
  <c r="G31" i="2"/>
  <c r="G32" i="2"/>
  <c r="G33" i="2"/>
  <c r="G30" i="2"/>
  <c r="G29" i="2"/>
  <c r="G21" i="2"/>
  <c r="G22" i="2"/>
  <c r="G23" i="2"/>
  <c r="G24" i="2"/>
  <c r="G25" i="2"/>
  <c r="G26" i="2"/>
  <c r="G27" i="2"/>
  <c r="G28" i="2"/>
  <c r="G20" i="2"/>
  <c r="H17" i="2"/>
  <c r="H16" i="2"/>
  <c r="G17" i="2"/>
  <c r="G16" i="2"/>
  <c r="H12" i="2"/>
  <c r="H13" i="2"/>
  <c r="H14" i="2"/>
  <c r="H15" i="2"/>
  <c r="H11" i="2"/>
  <c r="G12" i="2"/>
  <c r="G13" i="2"/>
  <c r="G14" i="2"/>
  <c r="G15" i="2"/>
  <c r="G11" i="2"/>
  <c r="H42" i="1"/>
  <c r="G42" i="1"/>
  <c r="J39" i="1"/>
  <c r="J38" i="1"/>
  <c r="J40" i="1"/>
  <c r="K40" i="1" s="1"/>
  <c r="H39" i="1"/>
  <c r="H40" i="1"/>
  <c r="H38" i="1"/>
  <c r="G39" i="1"/>
  <c r="G40" i="1"/>
  <c r="G38" i="1"/>
  <c r="H35" i="1"/>
  <c r="H34" i="1"/>
  <c r="H31" i="1"/>
  <c r="H32" i="1"/>
  <c r="H33" i="1"/>
  <c r="H30" i="1"/>
  <c r="H29" i="1"/>
  <c r="H21" i="1"/>
  <c r="H22" i="1"/>
  <c r="H23" i="1"/>
  <c r="H24" i="1"/>
  <c r="H25" i="1"/>
  <c r="H26" i="1"/>
  <c r="H27" i="1"/>
  <c r="H28" i="1"/>
  <c r="H20" i="1"/>
  <c r="G35" i="1"/>
  <c r="G34" i="1"/>
  <c r="G31" i="1"/>
  <c r="G32" i="1"/>
  <c r="G33" i="1"/>
  <c r="G30" i="1"/>
  <c r="G29" i="1"/>
  <c r="G21" i="1"/>
  <c r="G22" i="1"/>
  <c r="G23" i="1"/>
  <c r="G24" i="1"/>
  <c r="G25" i="1"/>
  <c r="G26" i="1"/>
  <c r="G27" i="1"/>
  <c r="G28" i="1"/>
  <c r="G20" i="1"/>
  <c r="H10" i="2" l="1"/>
  <c r="G10" i="2"/>
  <c r="H9" i="2"/>
  <c r="G9" i="2"/>
  <c r="H8" i="2"/>
  <c r="G8" i="2"/>
  <c r="H7" i="2"/>
  <c r="G7" i="2"/>
  <c r="H6" i="2"/>
  <c r="G6" i="2"/>
  <c r="H5" i="2"/>
  <c r="G5" i="2"/>
  <c r="M42" i="2"/>
  <c r="M39" i="2"/>
  <c r="M38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7" i="2"/>
  <c r="M16" i="2"/>
  <c r="M15" i="2"/>
  <c r="M14" i="2"/>
  <c r="M13" i="2"/>
  <c r="M12" i="2"/>
  <c r="M11" i="2"/>
  <c r="M10" i="2"/>
  <c r="F9" i="2"/>
  <c r="M9" i="2"/>
  <c r="M8" i="2"/>
  <c r="M7" i="2"/>
  <c r="M6" i="2"/>
  <c r="M5" i="2"/>
  <c r="F42" i="2"/>
  <c r="F39" i="2"/>
  <c r="F38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7" i="2"/>
  <c r="F16" i="2"/>
  <c r="F15" i="2"/>
  <c r="F14" i="2"/>
  <c r="F13" i="2"/>
  <c r="F12" i="2"/>
  <c r="F11" i="2"/>
  <c r="F10" i="2"/>
  <c r="F8" i="2"/>
  <c r="F7" i="2"/>
  <c r="F6" i="2"/>
  <c r="F5" i="2"/>
  <c r="F40" i="2" l="1"/>
  <c r="E27" i="2"/>
  <c r="E16" i="2"/>
  <c r="O40" i="2" l="1"/>
  <c r="K40" i="2"/>
  <c r="O42" i="2"/>
  <c r="J42" i="2"/>
  <c r="O39" i="2"/>
  <c r="K39" i="2"/>
  <c r="O38" i="2"/>
  <c r="J38" i="2"/>
  <c r="K38" i="2" s="1"/>
  <c r="O35" i="2"/>
  <c r="J35" i="2"/>
  <c r="K35" i="2" s="1"/>
  <c r="O34" i="2"/>
  <c r="J34" i="2"/>
  <c r="K34" i="2" s="1"/>
  <c r="O33" i="2"/>
  <c r="J33" i="2"/>
  <c r="K33" i="2" s="1"/>
  <c r="O32" i="2"/>
  <c r="J32" i="2"/>
  <c r="K32" i="2" s="1"/>
  <c r="O31" i="2"/>
  <c r="J31" i="2"/>
  <c r="K31" i="2" s="1"/>
  <c r="O30" i="2"/>
  <c r="J30" i="2"/>
  <c r="K30" i="2" s="1"/>
  <c r="O29" i="2"/>
  <c r="J29" i="2"/>
  <c r="K29" i="2" s="1"/>
  <c r="O28" i="2"/>
  <c r="J28" i="2"/>
  <c r="K28" i="2" s="1"/>
  <c r="O27" i="2"/>
  <c r="K27" i="2"/>
  <c r="J27" i="2"/>
  <c r="O26" i="2"/>
  <c r="J26" i="2"/>
  <c r="K26" i="2" s="1"/>
  <c r="O25" i="2"/>
  <c r="J25" i="2"/>
  <c r="K25" i="2" s="1"/>
  <c r="O24" i="2"/>
  <c r="J24" i="2"/>
  <c r="K24" i="2" s="1"/>
  <c r="O23" i="2"/>
  <c r="J23" i="2"/>
  <c r="K23" i="2" s="1"/>
  <c r="O22" i="2"/>
  <c r="J22" i="2"/>
  <c r="K22" i="2" s="1"/>
  <c r="O21" i="2"/>
  <c r="J21" i="2"/>
  <c r="K21" i="2" s="1"/>
  <c r="O20" i="2"/>
  <c r="J20" i="2"/>
  <c r="K20" i="2" s="1"/>
  <c r="O17" i="2"/>
  <c r="J17" i="2"/>
  <c r="K17" i="2" s="1"/>
  <c r="O16" i="2"/>
  <c r="J16" i="2"/>
  <c r="K16" i="2" s="1"/>
  <c r="O15" i="2"/>
  <c r="J15" i="2"/>
  <c r="K15" i="2" s="1"/>
  <c r="O14" i="2"/>
  <c r="J14" i="2"/>
  <c r="K14" i="2" s="1"/>
  <c r="O13" i="2"/>
  <c r="J13" i="2"/>
  <c r="K13" i="2" s="1"/>
  <c r="J12" i="2"/>
  <c r="K12" i="2" s="1"/>
  <c r="O11" i="2"/>
  <c r="J11" i="2"/>
  <c r="K11" i="2" s="1"/>
  <c r="O10" i="2"/>
  <c r="J10" i="2"/>
  <c r="K10" i="2" s="1"/>
  <c r="O9" i="2"/>
  <c r="J9" i="2"/>
  <c r="K9" i="2" s="1"/>
  <c r="O8" i="2"/>
  <c r="J8" i="2"/>
  <c r="O7" i="2"/>
  <c r="J7" i="2"/>
  <c r="K7" i="2" s="1"/>
  <c r="O6" i="2"/>
  <c r="J6" i="2"/>
  <c r="O5" i="2"/>
  <c r="J5" i="2"/>
  <c r="K5" i="2" s="1"/>
  <c r="O42" i="1"/>
  <c r="J42" i="1"/>
  <c r="O39" i="1"/>
  <c r="K39" i="1"/>
  <c r="O38" i="1"/>
  <c r="K38" i="1" l="1"/>
  <c r="O21" i="1" l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20" i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20" i="1"/>
  <c r="K20" i="1" s="1"/>
  <c r="O16" i="1" l="1"/>
  <c r="O15" i="1"/>
  <c r="O14" i="1" l="1"/>
  <c r="O13" i="1" l="1"/>
  <c r="O12" i="1" l="1"/>
  <c r="O11" i="1" l="1"/>
  <c r="O10" i="1" l="1"/>
  <c r="O9" i="1" l="1"/>
  <c r="O8" i="1" l="1"/>
  <c r="O7" i="1" l="1"/>
  <c r="O6" i="1" l="1"/>
  <c r="O5" i="1" l="1"/>
  <c r="J6" i="1"/>
  <c r="J7" i="1"/>
  <c r="K7" i="1" s="1"/>
  <c r="J8" i="1"/>
  <c r="J9" i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5" i="1"/>
  <c r="K5" i="1" s="1"/>
</calcChain>
</file>

<file path=xl/sharedStrings.xml><?xml version="1.0" encoding="utf-8"?>
<sst xmlns="http://schemas.openxmlformats.org/spreadsheetml/2006/main" count="218" uniqueCount="76">
  <si>
    <t>№</t>
  </si>
  <si>
    <t>Адрес</t>
  </si>
  <si>
    <t>Начислено за содержание</t>
  </si>
  <si>
    <t>Оплачено за содержание</t>
  </si>
  <si>
    <t>Услуги УК</t>
  </si>
  <si>
    <t>Содержание дома</t>
  </si>
  <si>
    <t>Текущий ремонт</t>
  </si>
  <si>
    <t>Начислено на капремонт</t>
  </si>
  <si>
    <t>Оплачено за капремонт</t>
  </si>
  <si>
    <t>Выполнено работ по капремонту в 1 кв. 2013 г.</t>
  </si>
  <si>
    <t>Остаток средств по капремонт на 01.04.2013 г.</t>
  </si>
  <si>
    <t>Остаток на содержание дома на 01.01.13г.</t>
  </si>
  <si>
    <t>Остаток по капремонт на 01.01.13г.</t>
  </si>
  <si>
    <t>Всего выполнено услуг, работ за 1 кв. 13г.</t>
  </si>
  <si>
    <t>Остаток средств на текущий ремонт на 01.04.13г.</t>
  </si>
  <si>
    <t>Оказанно услуг</t>
  </si>
  <si>
    <t>м-н Мелиорация</t>
  </si>
  <si>
    <t>пер. Мелиоративный, 4</t>
  </si>
  <si>
    <t>пер. Мелиоративный, 8</t>
  </si>
  <si>
    <t>пер. Мелиоративный, 15</t>
  </si>
  <si>
    <t>ул. Мелиоративная, 3</t>
  </si>
  <si>
    <t>ул. Мелиоративная, 4</t>
  </si>
  <si>
    <t>ул. Мелиоративная, 5</t>
  </si>
  <si>
    <t>ул. Мелиоративная, 6</t>
  </si>
  <si>
    <t>ул. Мелиоративная, 8</t>
  </si>
  <si>
    <t>ул. Мелиоративная, 10</t>
  </si>
  <si>
    <t>ул. Мелиоративная, 14</t>
  </si>
  <si>
    <t>ул. Мелиоративная, 16</t>
  </si>
  <si>
    <t>ул. Мелиоративная, 18</t>
  </si>
  <si>
    <t>ул. Мелиоративная, 20</t>
  </si>
  <si>
    <t>м-н Лесной</t>
  </si>
  <si>
    <t>ул. Мира, 1</t>
  </si>
  <si>
    <t>ул. Мира, 3</t>
  </si>
  <si>
    <t>ул. Мира, 4</t>
  </si>
  <si>
    <t>ул. Мира, 6</t>
  </si>
  <si>
    <t>ул. Мира, 8</t>
  </si>
  <si>
    <t>ул. Мира, 1а</t>
  </si>
  <si>
    <t>ул. Мира, 10</t>
  </si>
  <si>
    <t>ул. Мира, 12</t>
  </si>
  <si>
    <t>ул. Мира, 14</t>
  </si>
  <si>
    <t>ул. Юн. Космонавтов, 1</t>
  </si>
  <si>
    <t>ул. Юн. Космонавтов, 4а</t>
  </si>
  <si>
    <t>ул. Юн. Космонавтов, 6</t>
  </si>
  <si>
    <t>ул. Юн. Космонавтов, 8</t>
  </si>
  <si>
    <t>ул. Юн. Космонавтов, 9а</t>
  </si>
  <si>
    <t>пер. Хвойный, 8</t>
  </si>
  <si>
    <t>пер. Молодежный, 9</t>
  </si>
  <si>
    <t>м-н Льнозавод</t>
  </si>
  <si>
    <t>ул. Новая, 8</t>
  </si>
  <si>
    <t>ул. Новая, 11</t>
  </si>
  <si>
    <t>Город</t>
  </si>
  <si>
    <t>ул. Гжатская, 4</t>
  </si>
  <si>
    <t>Отчет ООО "Коммерческая эксплуатация" о выполненных работах за 1 квартал 2013 года</t>
  </si>
  <si>
    <t>Отчет ООО "Коммерческая эксплуатация" о выполненных работах за 2 квартал 2013 года</t>
  </si>
  <si>
    <t>Остаток на содержание дома на 01.04.13г.</t>
  </si>
  <si>
    <t>Остаток по капремонт на 01.04.13г.</t>
  </si>
  <si>
    <t>Всего выполнено услуг, работ за 2 кв. 13г.</t>
  </si>
  <si>
    <t>Остаток средств на текущий ремонт на 01.07.13г.</t>
  </si>
  <si>
    <t>Выполнено работ по капремонту в 2 кв. 2013 г.</t>
  </si>
  <si>
    <t>Остаток средств по капремонт на 01.07.2013 г.</t>
  </si>
  <si>
    <t>ул. Льнозавод, 21</t>
  </si>
  <si>
    <t>Отчет ООО "Коммерческая эксплуатация" о выполненных работах за 3 квартал 2013 года</t>
  </si>
  <si>
    <t>Остаток на содержание дома на 01.07.13г.</t>
  </si>
  <si>
    <t>Остаток по капремонт на 01.07.13г.</t>
  </si>
  <si>
    <t>Всего выполнено услуг, работ за 3 кв. 13г.</t>
  </si>
  <si>
    <t>Остаток средств на текущий ремонт на 01.10.13г.</t>
  </si>
  <si>
    <t>Выполнено работ по капремонту в 3 кв. 2013 г.</t>
  </si>
  <si>
    <t>Остаток средств по капремонт на 01.10.2013 г.</t>
  </si>
  <si>
    <t>пер. Хвойный, 3</t>
  </si>
  <si>
    <t>Отчет ООО "Коммерческая эксплуатация" о выполненных работах за 4 квартал 2013 года</t>
  </si>
  <si>
    <t>Остаток на содержание дома на 01.10.13г.</t>
  </si>
  <si>
    <t>Остаток по капремонт на 01.10.13г.</t>
  </si>
  <si>
    <t>Всего выполнено услуг, работ за 4 кв. 13г.</t>
  </si>
  <si>
    <t>Остаток средств на текущий ремонт на 01.01.14г.</t>
  </si>
  <si>
    <t>Выполнено работ по капремонту в 4 кв. 2013 г.</t>
  </si>
  <si>
    <t>Остаток средств по капремонт на 01.01.2014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</si>
</sst>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3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workbookViewId="0">
      <selection activeCell="B2" sqref="B2:B3"/>
    </sheetView>
  </sheetViews>
  <sheetFormatPr defaultRowHeight="15" x14ac:dyDescent="0.25"/>
  <cols>
    <col min="1" max="1" width="5.5703125" customWidth="1"/>
    <col min="2" max="2" width="27" customWidth="1"/>
    <col min="3" max="4" width="13.5703125" customWidth="1"/>
    <col min="5" max="5" width="13.85546875" customWidth="1"/>
    <col min="6" max="6" width="13.28515625" customWidth="1"/>
    <col min="7" max="7" width="12.7109375" customWidth="1"/>
    <col min="8" max="8" width="13.7109375" customWidth="1"/>
    <col min="9" max="9" width="10.5703125" customWidth="1"/>
    <col min="10" max="10" width="15.42578125" customWidth="1"/>
    <col min="11" max="11" width="12.85546875" customWidth="1"/>
    <col min="12" max="12" width="14.28515625" customWidth="1"/>
    <col min="13" max="13" width="13.7109375" customWidth="1"/>
    <col min="14" max="14" width="14.7109375" customWidth="1"/>
    <col min="15" max="15" width="15.42578125" customWidth="1"/>
  </cols>
  <sheetData>
    <row r="1" spans="1:15" ht="18.75" x14ac:dyDescent="0.3">
      <c r="A1" s="16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 customHeight="1" x14ac:dyDescent="0.25">
      <c r="A2" s="18" t="s">
        <v>0</v>
      </c>
      <c r="B2" s="18" t="s">
        <v>1</v>
      </c>
      <c r="C2" s="20" t="s">
        <v>11</v>
      </c>
      <c r="D2" s="20" t="s">
        <v>12</v>
      </c>
      <c r="E2" s="20" t="s">
        <v>2</v>
      </c>
      <c r="F2" s="20" t="s">
        <v>3</v>
      </c>
      <c r="G2" s="17" t="s">
        <v>15</v>
      </c>
      <c r="H2" s="17"/>
      <c r="I2" s="17"/>
      <c r="J2" s="20" t="s">
        <v>13</v>
      </c>
      <c r="K2" s="20" t="s">
        <v>14</v>
      </c>
      <c r="L2" s="20" t="s">
        <v>7</v>
      </c>
      <c r="M2" s="20" t="s">
        <v>8</v>
      </c>
      <c r="N2" s="20" t="s">
        <v>9</v>
      </c>
      <c r="O2" s="20" t="s">
        <v>10</v>
      </c>
    </row>
    <row r="3" spans="1:15" ht="81.75" customHeight="1" x14ac:dyDescent="0.25">
      <c r="A3" s="19"/>
      <c r="B3" s="19"/>
      <c r="C3" s="21"/>
      <c r="D3" s="21"/>
      <c r="E3" s="21"/>
      <c r="F3" s="21"/>
      <c r="G3" s="1" t="s">
        <v>4</v>
      </c>
      <c r="H3" s="1" t="s">
        <v>5</v>
      </c>
      <c r="I3" s="1" t="s">
        <v>6</v>
      </c>
      <c r="J3" s="21"/>
      <c r="K3" s="21"/>
      <c r="L3" s="21"/>
      <c r="M3" s="21"/>
      <c r="N3" s="21"/>
      <c r="O3" s="21"/>
    </row>
    <row r="4" spans="1:15" ht="18.75" x14ac:dyDescent="0.3">
      <c r="A4" s="22" t="s">
        <v>16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x14ac:dyDescent="0.25">
      <c r="A5" s="4">
        <v>1</v>
      </c>
      <c r="B5" s="3" t="s">
        <v>17</v>
      </c>
      <c r="C5" s="8">
        <v>118438</v>
      </c>
      <c r="D5" s="6">
        <v>13334</v>
      </c>
      <c r="E5" s="5">
        <v>53899</v>
      </c>
      <c r="F5" s="5">
        <v>51467</v>
      </c>
      <c r="G5" s="5">
        <v>10661</v>
      </c>
      <c r="H5" s="5">
        <v>17051</v>
      </c>
      <c r="I5" s="5">
        <v>35410</v>
      </c>
      <c r="J5" s="6">
        <f>G5+H5+I5</f>
        <v>63122</v>
      </c>
      <c r="K5" s="7">
        <f>C5+F5-J5</f>
        <v>106783</v>
      </c>
      <c r="L5" s="5">
        <v>5017</v>
      </c>
      <c r="M5" s="5">
        <v>4654</v>
      </c>
      <c r="N5" s="5">
        <v>42426</v>
      </c>
      <c r="O5" s="9">
        <f>D5+M5-N5</f>
        <v>-24438</v>
      </c>
    </row>
    <row r="6" spans="1:15" x14ac:dyDescent="0.25">
      <c r="A6" s="4">
        <v>2</v>
      </c>
      <c r="B6" s="3" t="s">
        <v>18</v>
      </c>
      <c r="C6" s="8">
        <v>-20207</v>
      </c>
      <c r="D6" s="6">
        <v>25247</v>
      </c>
      <c r="E6" s="5">
        <v>22567</v>
      </c>
      <c r="F6" s="5">
        <v>29763</v>
      </c>
      <c r="G6" s="5">
        <v>4705</v>
      </c>
      <c r="H6" s="5">
        <v>10533</v>
      </c>
      <c r="I6" s="5">
        <v>0</v>
      </c>
      <c r="J6" s="6">
        <f t="shared" ref="J6:J17" si="0">G6+H6+I6</f>
        <v>15238</v>
      </c>
      <c r="K6" s="9">
        <v>-5682</v>
      </c>
      <c r="L6" s="5">
        <v>2086</v>
      </c>
      <c r="M6" s="5">
        <v>2085</v>
      </c>
      <c r="N6" s="5">
        <v>0</v>
      </c>
      <c r="O6" s="7">
        <f>D6+M6</f>
        <v>27332</v>
      </c>
    </row>
    <row r="7" spans="1:15" x14ac:dyDescent="0.25">
      <c r="A7" s="4">
        <v>3</v>
      </c>
      <c r="B7" s="3" t="s">
        <v>19</v>
      </c>
      <c r="C7" s="8">
        <v>192425</v>
      </c>
      <c r="D7" s="6">
        <v>5009</v>
      </c>
      <c r="E7" s="5">
        <v>45845</v>
      </c>
      <c r="F7" s="5">
        <v>44841</v>
      </c>
      <c r="G7" s="5">
        <v>9068</v>
      </c>
      <c r="H7" s="5">
        <v>14856</v>
      </c>
      <c r="I7" s="5">
        <v>10874</v>
      </c>
      <c r="J7" s="6">
        <f t="shared" si="0"/>
        <v>34798</v>
      </c>
      <c r="K7" s="9">
        <f>C7+F7-J7</f>
        <v>202468</v>
      </c>
      <c r="L7" s="5">
        <v>4530</v>
      </c>
      <c r="M7" s="5">
        <v>3753</v>
      </c>
      <c r="N7" s="5">
        <v>0</v>
      </c>
      <c r="O7" s="7">
        <f>D7+M7</f>
        <v>8762</v>
      </c>
    </row>
    <row r="8" spans="1:15" x14ac:dyDescent="0.25">
      <c r="A8" s="4">
        <v>4</v>
      </c>
      <c r="B8" s="3" t="s">
        <v>20</v>
      </c>
      <c r="C8" s="8">
        <v>-60732</v>
      </c>
      <c r="D8" s="6">
        <v>31068</v>
      </c>
      <c r="E8" s="5">
        <v>18005</v>
      </c>
      <c r="F8" s="5">
        <v>17174</v>
      </c>
      <c r="G8" s="5">
        <v>3754</v>
      </c>
      <c r="H8" s="5">
        <v>6078</v>
      </c>
      <c r="I8" s="5">
        <v>3790</v>
      </c>
      <c r="J8" s="6">
        <f t="shared" si="0"/>
        <v>13622</v>
      </c>
      <c r="K8" s="9">
        <v>-57180</v>
      </c>
      <c r="L8" s="5">
        <v>2047</v>
      </c>
      <c r="M8" s="5">
        <v>1494</v>
      </c>
      <c r="N8" s="5">
        <v>33246</v>
      </c>
      <c r="O8" s="9">
        <f>D8+M8-N8</f>
        <v>-684</v>
      </c>
    </row>
    <row r="9" spans="1:15" x14ac:dyDescent="0.25">
      <c r="A9" s="4">
        <v>5</v>
      </c>
      <c r="B9" s="3" t="s">
        <v>21</v>
      </c>
      <c r="C9" s="8">
        <v>86872</v>
      </c>
      <c r="D9" s="6">
        <v>65816</v>
      </c>
      <c r="E9" s="5">
        <v>32838</v>
      </c>
      <c r="F9" s="5">
        <v>33024</v>
      </c>
      <c r="G9" s="5">
        <v>6495</v>
      </c>
      <c r="H9" s="5">
        <v>10941</v>
      </c>
      <c r="I9" s="5">
        <v>3605</v>
      </c>
      <c r="J9" s="6">
        <f t="shared" si="0"/>
        <v>21041</v>
      </c>
      <c r="K9" s="9">
        <f>C9+F9-J9</f>
        <v>98855</v>
      </c>
      <c r="L9" s="5">
        <v>3582</v>
      </c>
      <c r="M9" s="5">
        <v>3565</v>
      </c>
      <c r="N9" s="5">
        <v>0</v>
      </c>
      <c r="O9" s="9">
        <f t="shared" ref="O9:O16" si="1">D9+M9</f>
        <v>69381</v>
      </c>
    </row>
    <row r="10" spans="1:15" x14ac:dyDescent="0.25">
      <c r="A10" s="4">
        <v>6</v>
      </c>
      <c r="B10" s="3" t="s">
        <v>22</v>
      </c>
      <c r="C10" s="8">
        <v>13442</v>
      </c>
      <c r="D10" s="6">
        <v>38829</v>
      </c>
      <c r="E10" s="5">
        <v>16495</v>
      </c>
      <c r="F10" s="5">
        <v>14980</v>
      </c>
      <c r="G10" s="5">
        <v>3383</v>
      </c>
      <c r="H10" s="5">
        <v>5644</v>
      </c>
      <c r="I10" s="5">
        <v>981</v>
      </c>
      <c r="J10" s="6">
        <f t="shared" si="0"/>
        <v>10008</v>
      </c>
      <c r="K10" s="9">
        <f t="shared" ref="K10:K17" si="2">C10+F10-J10</f>
        <v>18414</v>
      </c>
      <c r="L10" s="5">
        <v>2071</v>
      </c>
      <c r="M10" s="5">
        <v>1883</v>
      </c>
      <c r="N10" s="5">
        <v>0</v>
      </c>
      <c r="O10" s="9">
        <f t="shared" si="1"/>
        <v>40712</v>
      </c>
    </row>
    <row r="11" spans="1:15" x14ac:dyDescent="0.25">
      <c r="A11" s="4">
        <v>7</v>
      </c>
      <c r="B11" s="3" t="s">
        <v>23</v>
      </c>
      <c r="C11" s="8">
        <v>129154</v>
      </c>
      <c r="D11" s="6">
        <v>40360</v>
      </c>
      <c r="E11" s="5">
        <v>36339</v>
      </c>
      <c r="F11" s="5">
        <v>36241</v>
      </c>
      <c r="G11" s="5">
        <v>7101</v>
      </c>
      <c r="H11" s="5">
        <v>11517</v>
      </c>
      <c r="I11" s="5">
        <v>3942</v>
      </c>
      <c r="J11" s="6">
        <f t="shared" si="0"/>
        <v>22560</v>
      </c>
      <c r="K11" s="9">
        <f t="shared" si="2"/>
        <v>142835</v>
      </c>
      <c r="L11" s="5">
        <v>2446</v>
      </c>
      <c r="M11" s="5">
        <v>2336</v>
      </c>
      <c r="N11" s="5">
        <v>0</v>
      </c>
      <c r="O11" s="9">
        <f t="shared" si="1"/>
        <v>42696</v>
      </c>
    </row>
    <row r="12" spans="1:15" x14ac:dyDescent="0.25">
      <c r="A12" s="4">
        <v>8</v>
      </c>
      <c r="B12" s="3" t="s">
        <v>24</v>
      </c>
      <c r="C12" s="8">
        <v>122478</v>
      </c>
      <c r="D12" s="6">
        <v>53192</v>
      </c>
      <c r="E12" s="5">
        <v>31757</v>
      </c>
      <c r="F12" s="5">
        <v>33367</v>
      </c>
      <c r="G12" s="5">
        <v>6205</v>
      </c>
      <c r="H12" s="5">
        <v>10604</v>
      </c>
      <c r="I12" s="5">
        <v>18432</v>
      </c>
      <c r="J12" s="6">
        <f t="shared" si="0"/>
        <v>35241</v>
      </c>
      <c r="K12" s="9">
        <f t="shared" si="2"/>
        <v>120604</v>
      </c>
      <c r="L12" s="5">
        <v>3099</v>
      </c>
      <c r="M12" s="5">
        <v>2878</v>
      </c>
      <c r="N12" s="5">
        <v>0</v>
      </c>
      <c r="O12" s="9">
        <f t="shared" si="1"/>
        <v>56070</v>
      </c>
    </row>
    <row r="13" spans="1:15" x14ac:dyDescent="0.25">
      <c r="A13" s="4">
        <v>9</v>
      </c>
      <c r="B13" s="3" t="s">
        <v>25</v>
      </c>
      <c r="C13" s="8">
        <v>140656</v>
      </c>
      <c r="D13" s="6">
        <v>6452</v>
      </c>
      <c r="E13" s="5">
        <v>60130</v>
      </c>
      <c r="F13" s="5">
        <v>58540</v>
      </c>
      <c r="G13" s="5">
        <v>11749</v>
      </c>
      <c r="H13" s="5">
        <v>18604</v>
      </c>
      <c r="I13" s="5">
        <v>7666</v>
      </c>
      <c r="J13" s="6">
        <f t="shared" si="0"/>
        <v>38019</v>
      </c>
      <c r="K13" s="9">
        <f t="shared" si="2"/>
        <v>161177</v>
      </c>
      <c r="L13" s="5">
        <v>5648</v>
      </c>
      <c r="M13" s="5">
        <v>5337</v>
      </c>
      <c r="N13" s="5">
        <v>0</v>
      </c>
      <c r="O13" s="9">
        <f t="shared" si="1"/>
        <v>11789</v>
      </c>
    </row>
    <row r="14" spans="1:15" x14ac:dyDescent="0.25">
      <c r="A14" s="4">
        <v>10</v>
      </c>
      <c r="B14" s="3" t="s">
        <v>26</v>
      </c>
      <c r="C14" s="8">
        <v>-13469</v>
      </c>
      <c r="D14" s="6">
        <v>43028</v>
      </c>
      <c r="E14" s="5">
        <v>24031</v>
      </c>
      <c r="F14" s="5">
        <v>21441</v>
      </c>
      <c r="G14" s="5">
        <v>4695</v>
      </c>
      <c r="H14" s="5">
        <v>6814</v>
      </c>
      <c r="I14" s="5">
        <v>0</v>
      </c>
      <c r="J14" s="6">
        <f t="shared" si="0"/>
        <v>11509</v>
      </c>
      <c r="K14" s="9">
        <f t="shared" si="2"/>
        <v>-3537</v>
      </c>
      <c r="L14" s="5">
        <v>2387</v>
      </c>
      <c r="M14" s="5">
        <v>2149</v>
      </c>
      <c r="N14" s="5">
        <v>0</v>
      </c>
      <c r="O14" s="9">
        <f t="shared" si="1"/>
        <v>45177</v>
      </c>
    </row>
    <row r="15" spans="1:15" x14ac:dyDescent="0.25">
      <c r="A15" s="4">
        <v>11</v>
      </c>
      <c r="B15" s="3" t="s">
        <v>27</v>
      </c>
      <c r="C15" s="8">
        <v>12662</v>
      </c>
      <c r="D15" s="6">
        <v>41168</v>
      </c>
      <c r="E15" s="5">
        <v>23859</v>
      </c>
      <c r="F15" s="5">
        <v>34234</v>
      </c>
      <c r="G15" s="5">
        <v>4662</v>
      </c>
      <c r="H15" s="5">
        <v>10879</v>
      </c>
      <c r="I15" s="5">
        <v>0</v>
      </c>
      <c r="J15" s="6">
        <f t="shared" si="0"/>
        <v>15541</v>
      </c>
      <c r="K15" s="9">
        <f t="shared" si="2"/>
        <v>31355</v>
      </c>
      <c r="L15" s="5">
        <v>2199</v>
      </c>
      <c r="M15" s="5">
        <v>3503</v>
      </c>
      <c r="N15" s="5">
        <v>0</v>
      </c>
      <c r="O15" s="9">
        <f t="shared" si="1"/>
        <v>44671</v>
      </c>
    </row>
    <row r="16" spans="1:15" x14ac:dyDescent="0.25">
      <c r="A16" s="4">
        <v>12</v>
      </c>
      <c r="B16" s="3" t="s">
        <v>28</v>
      </c>
      <c r="C16" s="8">
        <v>63479</v>
      </c>
      <c r="D16" s="6">
        <v>41403</v>
      </c>
      <c r="E16" s="5">
        <v>21391</v>
      </c>
      <c r="F16" s="5">
        <v>20470</v>
      </c>
      <c r="G16" s="5">
        <v>4231</v>
      </c>
      <c r="H16" s="5">
        <v>6782</v>
      </c>
      <c r="I16" s="5">
        <v>0</v>
      </c>
      <c r="J16" s="6">
        <f t="shared" si="0"/>
        <v>11013</v>
      </c>
      <c r="K16" s="9">
        <f t="shared" si="2"/>
        <v>72936</v>
      </c>
      <c r="L16" s="5">
        <v>2341</v>
      </c>
      <c r="M16" s="5">
        <v>2051</v>
      </c>
      <c r="N16" s="5">
        <v>0</v>
      </c>
      <c r="O16" s="9">
        <f t="shared" si="1"/>
        <v>43454</v>
      </c>
    </row>
    <row r="17" spans="1:15" x14ac:dyDescent="0.25">
      <c r="A17" s="4">
        <v>13</v>
      </c>
      <c r="B17" s="3" t="s">
        <v>29</v>
      </c>
      <c r="C17" s="8">
        <v>55944</v>
      </c>
      <c r="D17" s="6">
        <v>22542</v>
      </c>
      <c r="E17" s="5">
        <v>43484</v>
      </c>
      <c r="F17" s="5">
        <v>42111</v>
      </c>
      <c r="G17" s="5">
        <v>8601</v>
      </c>
      <c r="H17" s="5">
        <v>13951</v>
      </c>
      <c r="I17" s="5">
        <v>183</v>
      </c>
      <c r="J17" s="6">
        <f t="shared" si="0"/>
        <v>22735</v>
      </c>
      <c r="K17" s="9">
        <f t="shared" si="2"/>
        <v>75320</v>
      </c>
      <c r="L17" s="5">
        <v>4395</v>
      </c>
      <c r="M17" s="5">
        <v>5019</v>
      </c>
      <c r="N17" s="5">
        <v>10922</v>
      </c>
      <c r="O17" s="9">
        <f>D17+M17-N17</f>
        <v>16639</v>
      </c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8.75" x14ac:dyDescent="0.3">
      <c r="A19" s="23" t="s">
        <v>30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/>
    </row>
    <row r="20" spans="1:15" x14ac:dyDescent="0.25">
      <c r="A20" s="4">
        <v>14</v>
      </c>
      <c r="B20" s="4" t="s">
        <v>31</v>
      </c>
      <c r="C20" s="8">
        <v>67246</v>
      </c>
      <c r="D20" s="8">
        <v>39115</v>
      </c>
      <c r="E20" s="10">
        <v>18463</v>
      </c>
      <c r="F20" s="10">
        <v>18047</v>
      </c>
      <c r="G20" s="10">
        <f>E20*20.85%</f>
        <v>3849.5355000000004</v>
      </c>
      <c r="H20" s="10">
        <f>F20*35.39%</f>
        <v>6386.8333000000002</v>
      </c>
      <c r="I20" s="10">
        <v>17092</v>
      </c>
      <c r="J20" s="8">
        <f>G20+H20+I20</f>
        <v>27328.3688</v>
      </c>
      <c r="K20" s="9">
        <f>C20+F20-J20</f>
        <v>57964.631200000003</v>
      </c>
      <c r="L20" s="10">
        <v>2417</v>
      </c>
      <c r="M20" s="10">
        <v>2361</v>
      </c>
      <c r="N20" s="10">
        <v>0</v>
      </c>
      <c r="O20" s="9">
        <f>D20+M20-N20</f>
        <v>41476</v>
      </c>
    </row>
    <row r="21" spans="1:15" x14ac:dyDescent="0.25">
      <c r="A21" s="4">
        <v>15</v>
      </c>
      <c r="B21" s="4" t="s">
        <v>36</v>
      </c>
      <c r="C21" s="8">
        <v>-11384</v>
      </c>
      <c r="D21" s="8">
        <v>50082</v>
      </c>
      <c r="E21" s="10">
        <v>25115</v>
      </c>
      <c r="F21" s="10">
        <v>23988</v>
      </c>
      <c r="G21" s="10">
        <f t="shared" ref="G21:G28" si="3">E21*20.85%</f>
        <v>5236.4775000000009</v>
      </c>
      <c r="H21" s="10">
        <f t="shared" ref="H21:H28" si="4">F21*35.39%</f>
        <v>8489.3531999999996</v>
      </c>
      <c r="I21" s="10">
        <v>1270</v>
      </c>
      <c r="J21" s="8">
        <f t="shared" ref="J21:J35" si="5">G21+H21+I21</f>
        <v>14995.8307</v>
      </c>
      <c r="K21" s="9">
        <f t="shared" ref="K21:K35" si="6">C21+F21-J21</f>
        <v>-2391.8307000000004</v>
      </c>
      <c r="L21" s="10">
        <v>3157</v>
      </c>
      <c r="M21" s="10">
        <v>2780</v>
      </c>
      <c r="N21" s="10">
        <v>11000</v>
      </c>
      <c r="O21" s="9">
        <f t="shared" ref="O21:O35" si="7">D21+M21-N21</f>
        <v>41862</v>
      </c>
    </row>
    <row r="22" spans="1:15" x14ac:dyDescent="0.25">
      <c r="A22" s="4">
        <v>16</v>
      </c>
      <c r="B22" s="4" t="s">
        <v>32</v>
      </c>
      <c r="C22" s="8">
        <v>-52985</v>
      </c>
      <c r="D22" s="8">
        <v>27984</v>
      </c>
      <c r="E22" s="10">
        <v>17046</v>
      </c>
      <c r="F22" s="10">
        <v>20200</v>
      </c>
      <c r="G22" s="10">
        <f t="shared" si="3"/>
        <v>3554.0910000000003</v>
      </c>
      <c r="H22" s="10">
        <f t="shared" si="4"/>
        <v>7148.78</v>
      </c>
      <c r="I22" s="10">
        <v>1358</v>
      </c>
      <c r="J22" s="8">
        <f t="shared" si="5"/>
        <v>12060.870999999999</v>
      </c>
      <c r="K22" s="9">
        <f t="shared" si="6"/>
        <v>-44845.870999999999</v>
      </c>
      <c r="L22" s="10">
        <v>1834</v>
      </c>
      <c r="M22" s="10">
        <v>1622</v>
      </c>
      <c r="N22" s="10">
        <v>0</v>
      </c>
      <c r="O22" s="9">
        <f t="shared" si="7"/>
        <v>29606</v>
      </c>
    </row>
    <row r="23" spans="1:15" x14ac:dyDescent="0.25">
      <c r="A23" s="4">
        <v>17</v>
      </c>
      <c r="B23" s="4" t="s">
        <v>33</v>
      </c>
      <c r="C23" s="8">
        <v>-72976</v>
      </c>
      <c r="D23" s="8">
        <v>12844</v>
      </c>
      <c r="E23" s="10">
        <v>11956</v>
      </c>
      <c r="F23" s="10">
        <v>14264</v>
      </c>
      <c r="G23" s="10">
        <f t="shared" si="3"/>
        <v>2492.826</v>
      </c>
      <c r="H23" s="10">
        <f t="shared" si="4"/>
        <v>5048.0295999999998</v>
      </c>
      <c r="I23" s="10">
        <v>8003</v>
      </c>
      <c r="J23" s="8">
        <f t="shared" si="5"/>
        <v>15543.855599999999</v>
      </c>
      <c r="K23" s="9">
        <f t="shared" si="6"/>
        <v>-74255.855599999995</v>
      </c>
      <c r="L23" s="10">
        <v>849</v>
      </c>
      <c r="M23" s="10">
        <v>964</v>
      </c>
      <c r="N23" s="10">
        <v>0</v>
      </c>
      <c r="O23" s="9">
        <f t="shared" si="7"/>
        <v>13808</v>
      </c>
    </row>
    <row r="24" spans="1:15" x14ac:dyDescent="0.25">
      <c r="A24" s="4">
        <v>18</v>
      </c>
      <c r="B24" s="4" t="s">
        <v>34</v>
      </c>
      <c r="C24" s="8">
        <v>-51981</v>
      </c>
      <c r="D24" s="8">
        <v>41633</v>
      </c>
      <c r="E24" s="10">
        <v>18249</v>
      </c>
      <c r="F24" s="10">
        <v>17811</v>
      </c>
      <c r="G24" s="10">
        <f t="shared" si="3"/>
        <v>3804.9165000000003</v>
      </c>
      <c r="H24" s="10">
        <f t="shared" si="4"/>
        <v>6303.3128999999999</v>
      </c>
      <c r="I24" s="10">
        <v>0</v>
      </c>
      <c r="J24" s="8">
        <f t="shared" si="5"/>
        <v>10108.2294</v>
      </c>
      <c r="K24" s="9">
        <f t="shared" si="6"/>
        <v>-44278.229399999997</v>
      </c>
      <c r="L24" s="10">
        <v>2411</v>
      </c>
      <c r="M24" s="10">
        <v>1912</v>
      </c>
      <c r="N24" s="10">
        <v>0</v>
      </c>
      <c r="O24" s="9">
        <f t="shared" si="7"/>
        <v>43545</v>
      </c>
    </row>
    <row r="25" spans="1:15" x14ac:dyDescent="0.25">
      <c r="A25" s="4">
        <v>19</v>
      </c>
      <c r="B25" s="4" t="s">
        <v>35</v>
      </c>
      <c r="C25" s="8">
        <v>52318</v>
      </c>
      <c r="D25" s="8">
        <v>31921</v>
      </c>
      <c r="E25" s="10">
        <v>18192</v>
      </c>
      <c r="F25" s="10">
        <v>17495</v>
      </c>
      <c r="G25" s="10">
        <f t="shared" si="3"/>
        <v>3793.0320000000002</v>
      </c>
      <c r="H25" s="10">
        <f t="shared" si="4"/>
        <v>6191.4804999999997</v>
      </c>
      <c r="I25" s="10">
        <v>0</v>
      </c>
      <c r="J25" s="8">
        <f t="shared" si="5"/>
        <v>9984.5125000000007</v>
      </c>
      <c r="K25" s="9">
        <f t="shared" si="6"/>
        <v>59828.487500000003</v>
      </c>
      <c r="L25" s="10">
        <v>2223</v>
      </c>
      <c r="M25" s="10">
        <v>2168</v>
      </c>
      <c r="N25" s="10">
        <v>0</v>
      </c>
      <c r="O25" s="9">
        <f t="shared" si="7"/>
        <v>34089</v>
      </c>
    </row>
    <row r="26" spans="1:15" x14ac:dyDescent="0.25">
      <c r="A26" s="4">
        <v>20</v>
      </c>
      <c r="B26" s="4" t="s">
        <v>37</v>
      </c>
      <c r="C26" s="8">
        <v>5075</v>
      </c>
      <c r="D26" s="8">
        <v>30132</v>
      </c>
      <c r="E26" s="10">
        <v>18553</v>
      </c>
      <c r="F26" s="10">
        <v>21517</v>
      </c>
      <c r="G26" s="10">
        <f t="shared" si="3"/>
        <v>3868.3005000000003</v>
      </c>
      <c r="H26" s="10">
        <f t="shared" si="4"/>
        <v>7614.8662999999997</v>
      </c>
      <c r="I26" s="10">
        <v>6326</v>
      </c>
      <c r="J26" s="8">
        <f t="shared" si="5"/>
        <v>17809.166799999999</v>
      </c>
      <c r="K26" s="9">
        <f t="shared" si="6"/>
        <v>8782.8332000000009</v>
      </c>
      <c r="L26" s="10">
        <v>1835</v>
      </c>
      <c r="M26" s="10">
        <v>2011</v>
      </c>
      <c r="N26" s="10">
        <v>0</v>
      </c>
      <c r="O26" s="9">
        <f t="shared" si="7"/>
        <v>32143</v>
      </c>
    </row>
    <row r="27" spans="1:15" x14ac:dyDescent="0.25">
      <c r="A27" s="4">
        <v>21</v>
      </c>
      <c r="B27" s="4" t="s">
        <v>38</v>
      </c>
      <c r="C27" s="8">
        <v>-59016</v>
      </c>
      <c r="D27" s="8">
        <v>49234</v>
      </c>
      <c r="E27" s="10">
        <v>25976</v>
      </c>
      <c r="F27" s="10">
        <v>27594</v>
      </c>
      <c r="G27" s="10">
        <f t="shared" si="3"/>
        <v>5415.9960000000001</v>
      </c>
      <c r="H27" s="10">
        <f t="shared" si="4"/>
        <v>9765.516599999999</v>
      </c>
      <c r="I27" s="10">
        <v>0</v>
      </c>
      <c r="J27" s="8">
        <f t="shared" si="5"/>
        <v>15181.512599999998</v>
      </c>
      <c r="K27" s="9">
        <f t="shared" si="6"/>
        <v>-46603.512600000002</v>
      </c>
      <c r="L27" s="10">
        <v>2783</v>
      </c>
      <c r="M27" s="10">
        <v>3057</v>
      </c>
      <c r="N27" s="10">
        <v>11823</v>
      </c>
      <c r="O27" s="9">
        <f t="shared" si="7"/>
        <v>40468</v>
      </c>
    </row>
    <row r="28" spans="1:15" x14ac:dyDescent="0.25">
      <c r="A28" s="4">
        <v>22</v>
      </c>
      <c r="B28" s="4" t="s">
        <v>39</v>
      </c>
      <c r="C28" s="8">
        <v>-33346</v>
      </c>
      <c r="D28" s="8">
        <v>56698</v>
      </c>
      <c r="E28" s="10">
        <v>25755</v>
      </c>
      <c r="F28" s="10">
        <v>23956</v>
      </c>
      <c r="G28" s="10">
        <f t="shared" si="3"/>
        <v>5369.9175000000005</v>
      </c>
      <c r="H28" s="10">
        <f t="shared" si="4"/>
        <v>8478.0283999999992</v>
      </c>
      <c r="I28" s="10">
        <v>6657</v>
      </c>
      <c r="J28" s="8">
        <f t="shared" si="5"/>
        <v>20504.945899999999</v>
      </c>
      <c r="K28" s="9">
        <f t="shared" si="6"/>
        <v>-29894.945899999999</v>
      </c>
      <c r="L28" s="10">
        <v>3371</v>
      </c>
      <c r="M28" s="10">
        <v>3113</v>
      </c>
      <c r="N28" s="10">
        <v>9523</v>
      </c>
      <c r="O28" s="9">
        <f t="shared" si="7"/>
        <v>50288</v>
      </c>
    </row>
    <row r="29" spans="1:15" x14ac:dyDescent="0.25">
      <c r="A29" s="4">
        <v>23</v>
      </c>
      <c r="B29" s="4" t="s">
        <v>40</v>
      </c>
      <c r="C29" s="8">
        <v>-23267</v>
      </c>
      <c r="D29" s="8">
        <v>33188</v>
      </c>
      <c r="E29" s="10">
        <v>13034</v>
      </c>
      <c r="F29" s="10">
        <v>12026</v>
      </c>
      <c r="G29" s="10">
        <f>E29*20.51%</f>
        <v>2673.2734</v>
      </c>
      <c r="H29" s="10">
        <f>F29*37.68%</f>
        <v>4531.3968000000004</v>
      </c>
      <c r="I29" s="10">
        <v>0</v>
      </c>
      <c r="J29" s="8">
        <f t="shared" si="5"/>
        <v>7204.6702000000005</v>
      </c>
      <c r="K29" s="9">
        <f t="shared" si="6"/>
        <v>-18445.6702</v>
      </c>
      <c r="L29" s="10">
        <v>1888</v>
      </c>
      <c r="M29" s="10">
        <v>1558</v>
      </c>
      <c r="N29" s="10">
        <v>0</v>
      </c>
      <c r="O29" s="9">
        <f t="shared" si="7"/>
        <v>34746</v>
      </c>
    </row>
    <row r="30" spans="1:15" x14ac:dyDescent="0.25">
      <c r="A30" s="4">
        <v>24</v>
      </c>
      <c r="B30" s="4" t="s">
        <v>41</v>
      </c>
      <c r="C30" s="8">
        <v>107543</v>
      </c>
      <c r="D30" s="8">
        <v>20723</v>
      </c>
      <c r="E30" s="10">
        <v>15250</v>
      </c>
      <c r="F30" s="10">
        <v>10573</v>
      </c>
      <c r="G30" s="10">
        <f>E30*20.85%</f>
        <v>3179.6250000000005</v>
      </c>
      <c r="H30" s="10">
        <f>F30*35.39%</f>
        <v>3741.7846999999997</v>
      </c>
      <c r="I30" s="10">
        <v>0</v>
      </c>
      <c r="J30" s="8">
        <f t="shared" si="5"/>
        <v>6921.4097000000002</v>
      </c>
      <c r="K30" s="9">
        <f t="shared" si="6"/>
        <v>111194.5903</v>
      </c>
      <c r="L30" s="10">
        <v>2155</v>
      </c>
      <c r="M30" s="10">
        <v>1692</v>
      </c>
      <c r="N30" s="10">
        <v>0</v>
      </c>
      <c r="O30" s="9">
        <f t="shared" si="7"/>
        <v>22415</v>
      </c>
    </row>
    <row r="31" spans="1:15" x14ac:dyDescent="0.25">
      <c r="A31" s="4">
        <v>25</v>
      </c>
      <c r="B31" s="4" t="s">
        <v>42</v>
      </c>
      <c r="C31" s="8">
        <v>-21543</v>
      </c>
      <c r="D31" s="8">
        <v>20408</v>
      </c>
      <c r="E31" s="10">
        <v>9067</v>
      </c>
      <c r="F31" s="10">
        <v>8619</v>
      </c>
      <c r="G31" s="10">
        <f t="shared" ref="G31:G33" si="8">E31*20.85%</f>
        <v>1890.4695000000002</v>
      </c>
      <c r="H31" s="10">
        <f t="shared" ref="H31:H33" si="9">F31*35.39%</f>
        <v>3050.2640999999999</v>
      </c>
      <c r="I31" s="10">
        <v>0</v>
      </c>
      <c r="J31" s="8">
        <f t="shared" si="5"/>
        <v>4940.7335999999996</v>
      </c>
      <c r="K31" s="9">
        <f t="shared" si="6"/>
        <v>-17864.7336</v>
      </c>
      <c r="L31" s="10">
        <v>1187</v>
      </c>
      <c r="M31" s="10">
        <v>1018</v>
      </c>
      <c r="N31" s="10">
        <v>0</v>
      </c>
      <c r="O31" s="9">
        <f t="shared" si="7"/>
        <v>21426</v>
      </c>
    </row>
    <row r="32" spans="1:15" x14ac:dyDescent="0.25">
      <c r="A32" s="4">
        <v>26</v>
      </c>
      <c r="B32" s="4" t="s">
        <v>43</v>
      </c>
      <c r="C32" s="8">
        <v>14824</v>
      </c>
      <c r="D32" s="8">
        <v>15363</v>
      </c>
      <c r="E32" s="10">
        <v>8744</v>
      </c>
      <c r="F32" s="10">
        <v>6966</v>
      </c>
      <c r="G32" s="10">
        <f t="shared" si="8"/>
        <v>1823.1240000000003</v>
      </c>
      <c r="H32" s="10">
        <f t="shared" si="9"/>
        <v>2465.2673999999997</v>
      </c>
      <c r="I32" s="10">
        <v>2376</v>
      </c>
      <c r="J32" s="8">
        <f t="shared" si="5"/>
        <v>6664.3914000000004</v>
      </c>
      <c r="K32" s="9">
        <f t="shared" si="6"/>
        <v>15125.6086</v>
      </c>
      <c r="L32" s="10">
        <v>838</v>
      </c>
      <c r="M32" s="10">
        <v>1000</v>
      </c>
      <c r="N32" s="10">
        <v>0</v>
      </c>
      <c r="O32" s="9">
        <f t="shared" si="7"/>
        <v>16363</v>
      </c>
    </row>
    <row r="33" spans="1:15" x14ac:dyDescent="0.25">
      <c r="A33" s="4">
        <v>27</v>
      </c>
      <c r="B33" s="4" t="s">
        <v>44</v>
      </c>
      <c r="C33" s="8">
        <v>-40528</v>
      </c>
      <c r="D33" s="8">
        <v>11584</v>
      </c>
      <c r="E33" s="10">
        <v>7088</v>
      </c>
      <c r="F33" s="10">
        <v>7098</v>
      </c>
      <c r="G33" s="10">
        <f t="shared" si="8"/>
        <v>1477.8480000000002</v>
      </c>
      <c r="H33" s="10">
        <f t="shared" si="9"/>
        <v>2511.9821999999999</v>
      </c>
      <c r="I33" s="10">
        <v>0</v>
      </c>
      <c r="J33" s="8">
        <f t="shared" si="5"/>
        <v>3989.8302000000003</v>
      </c>
      <c r="K33" s="9">
        <f t="shared" si="6"/>
        <v>-37419.830199999997</v>
      </c>
      <c r="L33" s="10">
        <v>702</v>
      </c>
      <c r="M33" s="10">
        <v>703</v>
      </c>
      <c r="N33" s="10">
        <v>0</v>
      </c>
      <c r="O33" s="9">
        <f t="shared" si="7"/>
        <v>12287</v>
      </c>
    </row>
    <row r="34" spans="1:15" x14ac:dyDescent="0.25">
      <c r="A34" s="4">
        <v>28</v>
      </c>
      <c r="B34" s="4" t="s">
        <v>45</v>
      </c>
      <c r="C34" s="8">
        <v>28505</v>
      </c>
      <c r="D34" s="8">
        <v>37646</v>
      </c>
      <c r="E34" s="10">
        <v>17548</v>
      </c>
      <c r="F34" s="10">
        <v>14235</v>
      </c>
      <c r="G34" s="10">
        <f>E34*20.15%</f>
        <v>3535.9219999999996</v>
      </c>
      <c r="H34" s="10">
        <f>F34*37.14%</f>
        <v>5286.8789999999999</v>
      </c>
      <c r="I34" s="10">
        <v>0</v>
      </c>
      <c r="J34" s="8">
        <f t="shared" si="5"/>
        <v>8822.8009999999995</v>
      </c>
      <c r="K34" s="9">
        <f t="shared" si="6"/>
        <v>33917.199000000001</v>
      </c>
      <c r="L34" s="10">
        <v>2021</v>
      </c>
      <c r="M34" s="10">
        <v>1693</v>
      </c>
      <c r="N34" s="10">
        <v>13213</v>
      </c>
      <c r="O34" s="9">
        <f t="shared" si="7"/>
        <v>26126</v>
      </c>
    </row>
    <row r="35" spans="1:15" x14ac:dyDescent="0.25">
      <c r="A35" s="4">
        <v>29</v>
      </c>
      <c r="B35" s="4" t="s">
        <v>46</v>
      </c>
      <c r="C35" s="8">
        <v>33636</v>
      </c>
      <c r="D35" s="8">
        <v>34688</v>
      </c>
      <c r="E35" s="10">
        <v>18386</v>
      </c>
      <c r="F35" s="10">
        <v>18201</v>
      </c>
      <c r="G35" s="10">
        <f>E35*20.85%</f>
        <v>3833.4810000000002</v>
      </c>
      <c r="H35" s="10">
        <f>F35*35.39%</f>
        <v>6441.3338999999996</v>
      </c>
      <c r="I35" s="10">
        <v>0</v>
      </c>
      <c r="J35" s="8">
        <f t="shared" si="5"/>
        <v>10274.814899999999</v>
      </c>
      <c r="K35" s="9">
        <f t="shared" si="6"/>
        <v>41562.185100000002</v>
      </c>
      <c r="L35" s="10">
        <v>1829</v>
      </c>
      <c r="M35" s="10">
        <v>1658</v>
      </c>
      <c r="N35" s="10">
        <v>0</v>
      </c>
      <c r="O35" s="9">
        <f t="shared" si="7"/>
        <v>36346</v>
      </c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8.75" x14ac:dyDescent="0.3">
      <c r="A37" s="23" t="s">
        <v>47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</row>
    <row r="38" spans="1:15" x14ac:dyDescent="0.25">
      <c r="A38" s="4">
        <v>30</v>
      </c>
      <c r="B38" s="4" t="s">
        <v>48</v>
      </c>
      <c r="C38" s="8">
        <v>39393</v>
      </c>
      <c r="D38" s="8">
        <v>12742</v>
      </c>
      <c r="E38" s="10">
        <v>7994</v>
      </c>
      <c r="F38" s="10">
        <v>5489</v>
      </c>
      <c r="G38" s="10">
        <f>E38*20.98%</f>
        <v>1677.1412</v>
      </c>
      <c r="H38" s="10">
        <f>F38*30%</f>
        <v>1646.7</v>
      </c>
      <c r="I38" s="10">
        <v>19573</v>
      </c>
      <c r="J38" s="8">
        <f>G38+H38+I38</f>
        <v>22896.841199999999</v>
      </c>
      <c r="K38" s="9">
        <f>C38+F38-J38</f>
        <v>21985.158800000001</v>
      </c>
      <c r="L38" s="10">
        <v>1019</v>
      </c>
      <c r="M38" s="10">
        <v>591</v>
      </c>
      <c r="N38" s="10">
        <v>29533</v>
      </c>
      <c r="O38" s="9">
        <f>D38+M38-N38</f>
        <v>-16200</v>
      </c>
    </row>
    <row r="39" spans="1:15" x14ac:dyDescent="0.25">
      <c r="A39" s="4">
        <v>31</v>
      </c>
      <c r="B39" s="4" t="s">
        <v>49</v>
      </c>
      <c r="C39" s="8">
        <v>40324</v>
      </c>
      <c r="D39" s="8">
        <v>9336</v>
      </c>
      <c r="E39" s="10">
        <v>7461</v>
      </c>
      <c r="F39" s="10">
        <v>5672</v>
      </c>
      <c r="G39" s="10">
        <f t="shared" ref="G39:G40" si="10">E39*20.98%</f>
        <v>1565.3178</v>
      </c>
      <c r="H39" s="10">
        <f t="shared" ref="H39:H40" si="11">F39*30%</f>
        <v>1701.6</v>
      </c>
      <c r="I39" s="10">
        <v>5087</v>
      </c>
      <c r="J39" s="8">
        <f>G39+H39+I39</f>
        <v>8353.9177999999993</v>
      </c>
      <c r="K39" s="9">
        <f>C39+F39-J39</f>
        <v>37642.082200000004</v>
      </c>
      <c r="L39" s="10">
        <v>750</v>
      </c>
      <c r="M39" s="10">
        <v>395</v>
      </c>
      <c r="N39" s="10">
        <v>0</v>
      </c>
      <c r="O39" s="9">
        <f>D39+M39-N39</f>
        <v>9731</v>
      </c>
    </row>
    <row r="40" spans="1:15" x14ac:dyDescent="0.25">
      <c r="A40" s="4">
        <v>32</v>
      </c>
      <c r="B40" s="4" t="s">
        <v>60</v>
      </c>
      <c r="C40" s="8">
        <v>19225</v>
      </c>
      <c r="D40" s="8"/>
      <c r="E40" s="10">
        <v>4583</v>
      </c>
      <c r="F40" s="10">
        <v>3348</v>
      </c>
      <c r="G40" s="10">
        <f t="shared" si="10"/>
        <v>961.51340000000005</v>
      </c>
      <c r="H40" s="10">
        <f t="shared" si="11"/>
        <v>1004.4</v>
      </c>
      <c r="I40" s="10">
        <v>0</v>
      </c>
      <c r="J40" s="8">
        <f>G40+H40+I40</f>
        <v>1965.9133999999999</v>
      </c>
      <c r="K40" s="9">
        <f>C40+F40-J40</f>
        <v>20607.086599999999</v>
      </c>
      <c r="L40" s="10">
        <v>639</v>
      </c>
      <c r="M40" s="10">
        <v>640</v>
      </c>
      <c r="N40" s="10"/>
      <c r="O40" s="9"/>
    </row>
    <row r="41" spans="1:15" ht="18.75" x14ac:dyDescent="0.3">
      <c r="A41" s="23" t="s">
        <v>50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</row>
    <row r="42" spans="1:15" x14ac:dyDescent="0.25">
      <c r="A42" s="4">
        <v>33</v>
      </c>
      <c r="B42" s="4" t="s">
        <v>51</v>
      </c>
      <c r="C42" s="8">
        <v>-128991</v>
      </c>
      <c r="D42" s="8">
        <v>644</v>
      </c>
      <c r="E42" s="10">
        <v>9424</v>
      </c>
      <c r="F42" s="10">
        <v>7691</v>
      </c>
      <c r="G42" s="10">
        <f>E42*20.85%</f>
        <v>1964.9040000000002</v>
      </c>
      <c r="H42" s="10">
        <f>F42*35.39%</f>
        <v>2721.8449000000001</v>
      </c>
      <c r="I42" s="10">
        <v>0</v>
      </c>
      <c r="J42" s="8">
        <f>G42+H42+I42</f>
        <v>4686.7489000000005</v>
      </c>
      <c r="K42" s="9">
        <v>-125987</v>
      </c>
      <c r="L42" s="10">
        <v>906</v>
      </c>
      <c r="M42" s="10">
        <v>1060</v>
      </c>
      <c r="N42" s="10">
        <v>0</v>
      </c>
      <c r="O42" s="9">
        <f>D42+M42-N42</f>
        <v>1704</v>
      </c>
    </row>
    <row r="43" spans="1:15" x14ac:dyDescent="0.25">
      <c r="A43" s="4"/>
      <c r="B43" s="4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</sheetData>
  <mergeCells count="18">
    <mergeCell ref="A4:O4"/>
    <mergeCell ref="A19:O19"/>
    <mergeCell ref="A37:O37"/>
    <mergeCell ref="A41:O41"/>
    <mergeCell ref="A1:O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  <mergeCell ref="N2:N3"/>
    <mergeCell ref="O2:O3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opLeftCell="A7" workbookViewId="0">
      <selection activeCell="C8" sqref="C8"/>
    </sheetView>
  </sheetViews>
  <sheetFormatPr defaultRowHeight="15" x14ac:dyDescent="0.25"/>
  <cols>
    <col min="2" max="2" width="27.7109375" customWidth="1"/>
    <col min="3" max="4" width="14.28515625" customWidth="1"/>
    <col min="5" max="5" width="14.5703125" customWidth="1"/>
    <col min="6" max="6" width="13.85546875" customWidth="1"/>
    <col min="7" max="7" width="12.5703125" customWidth="1"/>
    <col min="8" max="8" width="14.140625" customWidth="1"/>
    <col min="9" max="9" width="14.28515625" customWidth="1"/>
    <col min="10" max="10" width="14.5703125" customWidth="1"/>
    <col min="11" max="11" width="12.85546875" customWidth="1"/>
    <col min="12" max="12" width="13.140625" customWidth="1"/>
    <col min="13" max="13" width="13.85546875" customWidth="1"/>
    <col min="14" max="14" width="14.85546875" customWidth="1"/>
    <col min="15" max="15" width="15.28515625" customWidth="1"/>
  </cols>
  <sheetData>
    <row r="1" spans="1:15" ht="24.75" customHeight="1" x14ac:dyDescent="0.25">
      <c r="A1" s="26" t="s">
        <v>53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x14ac:dyDescent="0.25">
      <c r="A2" s="18" t="s">
        <v>0</v>
      </c>
      <c r="B2" s="18" t="s">
        <v>1</v>
      </c>
      <c r="C2" s="20" t="s">
        <v>54</v>
      </c>
      <c r="D2" s="20" t="s">
        <v>55</v>
      </c>
      <c r="E2" s="20" t="s">
        <v>2</v>
      </c>
      <c r="F2" s="20" t="s">
        <v>3</v>
      </c>
      <c r="G2" s="17" t="s">
        <v>15</v>
      </c>
      <c r="H2" s="17"/>
      <c r="I2" s="17"/>
      <c r="J2" s="20" t="s">
        <v>56</v>
      </c>
      <c r="K2" s="20" t="s">
        <v>57</v>
      </c>
      <c r="L2" s="20" t="s">
        <v>7</v>
      </c>
      <c r="M2" s="20" t="s">
        <v>8</v>
      </c>
      <c r="N2" s="20" t="s">
        <v>58</v>
      </c>
      <c r="O2" s="20" t="s">
        <v>59</v>
      </c>
    </row>
    <row r="3" spans="1:15" ht="31.5" x14ac:dyDescent="0.25">
      <c r="A3" s="19"/>
      <c r="B3" s="19"/>
      <c r="C3" s="21"/>
      <c r="D3" s="21"/>
      <c r="E3" s="21"/>
      <c r="F3" s="21"/>
      <c r="G3" s="1" t="s">
        <v>4</v>
      </c>
      <c r="H3" s="1" t="s">
        <v>5</v>
      </c>
      <c r="I3" s="1" t="s">
        <v>6</v>
      </c>
      <c r="J3" s="21"/>
      <c r="K3" s="21"/>
      <c r="L3" s="21"/>
      <c r="M3" s="21"/>
      <c r="N3" s="21"/>
      <c r="O3" s="21"/>
    </row>
    <row r="4" spans="1:15" ht="18.75" x14ac:dyDescent="0.3">
      <c r="A4" s="22" t="s">
        <v>16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x14ac:dyDescent="0.25">
      <c r="A5" s="4">
        <v>1</v>
      </c>
      <c r="B5" s="3" t="s">
        <v>17</v>
      </c>
      <c r="C5" s="8">
        <v>106783</v>
      </c>
      <c r="D5" s="8">
        <v>-24438</v>
      </c>
      <c r="E5" s="5">
        <v>52903</v>
      </c>
      <c r="F5" s="5">
        <f>32987+24777</f>
        <v>57764</v>
      </c>
      <c r="G5" s="5">
        <f>E5*19.78%</f>
        <v>10464.213400000001</v>
      </c>
      <c r="H5" s="5">
        <f>F5*33.13%</f>
        <v>19137.213200000002</v>
      </c>
      <c r="I5" s="5"/>
      <c r="J5" s="6">
        <f>G5+H5+I5</f>
        <v>29601.426600000003</v>
      </c>
      <c r="K5" s="7">
        <f>C5+F5-J5</f>
        <v>134945.57339999999</v>
      </c>
      <c r="L5" s="5">
        <v>4861</v>
      </c>
      <c r="M5" s="5">
        <f>3101+2287</f>
        <v>5388</v>
      </c>
      <c r="N5" s="5"/>
      <c r="O5" s="9">
        <f>D5+M5-N5</f>
        <v>-19050</v>
      </c>
    </row>
    <row r="6" spans="1:15" x14ac:dyDescent="0.25">
      <c r="A6" s="4">
        <v>2</v>
      </c>
      <c r="B6" s="3" t="s">
        <v>18</v>
      </c>
      <c r="C6" s="8">
        <v>-5682</v>
      </c>
      <c r="D6" s="8">
        <v>27332</v>
      </c>
      <c r="E6" s="5">
        <v>22659</v>
      </c>
      <c r="F6" s="5">
        <f>11610+7959</f>
        <v>19569</v>
      </c>
      <c r="G6" s="5">
        <f>E6*20.85%</f>
        <v>4724.4015000000009</v>
      </c>
      <c r="H6" s="5">
        <f>F6*35.39%</f>
        <v>6925.4691000000003</v>
      </c>
      <c r="I6" s="5">
        <v>4886</v>
      </c>
      <c r="J6" s="6">
        <f t="shared" ref="J6:J17" si="0">G6+H6+I6</f>
        <v>16535.870600000002</v>
      </c>
      <c r="K6" s="9">
        <v>-2649</v>
      </c>
      <c r="L6" s="5">
        <v>2085</v>
      </c>
      <c r="M6" s="5">
        <f>1068+737</f>
        <v>1805</v>
      </c>
      <c r="N6" s="5"/>
      <c r="O6" s="7">
        <f>D6+M6</f>
        <v>29137</v>
      </c>
    </row>
    <row r="7" spans="1:15" x14ac:dyDescent="0.25">
      <c r="A7" s="4">
        <v>3</v>
      </c>
      <c r="B7" s="3" t="s">
        <v>19</v>
      </c>
      <c r="C7" s="8">
        <v>202468</v>
      </c>
      <c r="D7" s="8">
        <v>8762</v>
      </c>
      <c r="E7" s="5">
        <v>53220</v>
      </c>
      <c r="F7" s="5">
        <f>32734+16057</f>
        <v>48791</v>
      </c>
      <c r="G7" s="5">
        <f>E7*19.78%</f>
        <v>10526.916000000001</v>
      </c>
      <c r="H7" s="5">
        <f>F7*33.13%</f>
        <v>16164.458300000002</v>
      </c>
      <c r="I7" s="5">
        <v>3967</v>
      </c>
      <c r="J7" s="6">
        <f t="shared" si="0"/>
        <v>30658.374300000003</v>
      </c>
      <c r="K7" s="9">
        <f>C7+F7-J7</f>
        <v>220600.6257</v>
      </c>
      <c r="L7" s="5">
        <v>4530</v>
      </c>
      <c r="M7" s="5">
        <f>2835+1214</f>
        <v>4049</v>
      </c>
      <c r="N7" s="5"/>
      <c r="O7" s="7">
        <f>D7+M7</f>
        <v>12811</v>
      </c>
    </row>
    <row r="8" spans="1:15" x14ac:dyDescent="0.25">
      <c r="A8" s="4">
        <v>4</v>
      </c>
      <c r="B8" s="3" t="s">
        <v>20</v>
      </c>
      <c r="C8" s="8">
        <v>-57180</v>
      </c>
      <c r="D8" s="8">
        <v>-684</v>
      </c>
      <c r="E8" s="5">
        <v>18108</v>
      </c>
      <c r="F8" s="5">
        <f>10615+5549</f>
        <v>16164</v>
      </c>
      <c r="G8" s="5">
        <f>E8*20.85%</f>
        <v>3775.5180000000005</v>
      </c>
      <c r="H8" s="5">
        <f>F8*35.39%</f>
        <v>5720.4395999999997</v>
      </c>
      <c r="I8" s="5"/>
      <c r="J8" s="6">
        <f t="shared" si="0"/>
        <v>9495.9575999999997</v>
      </c>
      <c r="K8" s="9">
        <v>-50512</v>
      </c>
      <c r="L8" s="5">
        <v>2047</v>
      </c>
      <c r="M8" s="5">
        <f>1270+723</f>
        <v>1993</v>
      </c>
      <c r="N8" s="5"/>
      <c r="O8" s="9">
        <f>D8+M8-N8</f>
        <v>1309</v>
      </c>
    </row>
    <row r="9" spans="1:15" x14ac:dyDescent="0.25">
      <c r="A9" s="4">
        <v>5</v>
      </c>
      <c r="B9" s="3" t="s">
        <v>21</v>
      </c>
      <c r="C9" s="8">
        <v>98855</v>
      </c>
      <c r="D9" s="8">
        <v>69381</v>
      </c>
      <c r="E9" s="5">
        <v>32681</v>
      </c>
      <c r="F9" s="12">
        <f>20508+10807</f>
        <v>31315</v>
      </c>
      <c r="G9" s="5">
        <f>E9*19.78%</f>
        <v>6464.3018000000002</v>
      </c>
      <c r="H9" s="5">
        <f>F9*33.13%</f>
        <v>10374.659500000002</v>
      </c>
      <c r="I9" s="5"/>
      <c r="J9" s="6">
        <f t="shared" si="0"/>
        <v>16838.961300000003</v>
      </c>
      <c r="K9" s="9">
        <f t="shared" ref="K9:K17" si="1">C9+F9-J9</f>
        <v>113331.0387</v>
      </c>
      <c r="L9" s="5">
        <v>3409</v>
      </c>
      <c r="M9" s="5">
        <f>2143+1129</f>
        <v>3272</v>
      </c>
      <c r="N9" s="5"/>
      <c r="O9" s="9">
        <f t="shared" ref="O9:O17" si="2">D9+M9</f>
        <v>72653</v>
      </c>
    </row>
    <row r="10" spans="1:15" x14ac:dyDescent="0.25">
      <c r="A10" s="4">
        <v>6</v>
      </c>
      <c r="B10" s="3" t="s">
        <v>22</v>
      </c>
      <c r="C10" s="8">
        <v>18414</v>
      </c>
      <c r="D10" s="8">
        <v>40712</v>
      </c>
      <c r="E10" s="5">
        <v>16552</v>
      </c>
      <c r="F10" s="5">
        <f>9890+5361</f>
        <v>15251</v>
      </c>
      <c r="G10" s="5">
        <f>E10*20.51%</f>
        <v>3394.8152</v>
      </c>
      <c r="H10" s="5">
        <f>F10*37.68%</f>
        <v>5746.5768000000007</v>
      </c>
      <c r="I10" s="5">
        <v>4213</v>
      </c>
      <c r="J10" s="6">
        <f t="shared" si="0"/>
        <v>13354.392</v>
      </c>
      <c r="K10" s="9">
        <f t="shared" si="1"/>
        <v>20310.608</v>
      </c>
      <c r="L10" s="5">
        <v>2072</v>
      </c>
      <c r="M10" s="5">
        <f>1293+645</f>
        <v>1938</v>
      </c>
      <c r="N10" s="5"/>
      <c r="O10" s="9">
        <f t="shared" si="2"/>
        <v>42650</v>
      </c>
    </row>
    <row r="11" spans="1:15" x14ac:dyDescent="0.25">
      <c r="A11" s="4">
        <v>7</v>
      </c>
      <c r="B11" s="3" t="s">
        <v>23</v>
      </c>
      <c r="C11" s="8">
        <v>142835</v>
      </c>
      <c r="D11" s="8">
        <v>42696</v>
      </c>
      <c r="E11" s="5">
        <v>36339</v>
      </c>
      <c r="F11" s="5">
        <f>21622+12062</f>
        <v>33684</v>
      </c>
      <c r="G11" s="5">
        <f>E11*19.54%</f>
        <v>7100.6405999999997</v>
      </c>
      <c r="H11" s="5">
        <f>F11*31.78%</f>
        <v>10704.7752</v>
      </c>
      <c r="I11" s="5"/>
      <c r="J11" s="6">
        <f t="shared" si="0"/>
        <v>17805.415799999999</v>
      </c>
      <c r="K11" s="9">
        <f t="shared" si="1"/>
        <v>158713.58420000001</v>
      </c>
      <c r="L11" s="5">
        <v>2450</v>
      </c>
      <c r="M11" s="5">
        <f>1376+709</f>
        <v>2085</v>
      </c>
      <c r="N11" s="5"/>
      <c r="O11" s="9">
        <f t="shared" si="2"/>
        <v>44781</v>
      </c>
    </row>
    <row r="12" spans="1:15" x14ac:dyDescent="0.25">
      <c r="A12" s="4">
        <v>8</v>
      </c>
      <c r="B12" s="3" t="s">
        <v>24</v>
      </c>
      <c r="C12" s="8">
        <v>120604</v>
      </c>
      <c r="D12" s="8">
        <v>56070</v>
      </c>
      <c r="E12" s="5">
        <v>36520</v>
      </c>
      <c r="F12" s="5">
        <f>13742+8166</f>
        <v>21908</v>
      </c>
      <c r="G12" s="5">
        <f t="shared" ref="G12:G15" si="3">E12*19.54%</f>
        <v>7136.0079999999998</v>
      </c>
      <c r="H12" s="5">
        <f t="shared" ref="H12:H15" si="4">F12*31.78%</f>
        <v>6962.3624000000009</v>
      </c>
      <c r="I12" s="5">
        <v>976</v>
      </c>
      <c r="J12" s="6">
        <f t="shared" si="0"/>
        <v>15074.3704</v>
      </c>
      <c r="K12" s="9">
        <f t="shared" si="1"/>
        <v>127437.6296</v>
      </c>
      <c r="L12" s="5">
        <v>3099</v>
      </c>
      <c r="M12" s="5">
        <f>1916+1117</f>
        <v>3033</v>
      </c>
      <c r="N12" s="5">
        <v>28800</v>
      </c>
      <c r="O12" s="9">
        <f>D12+M12-N12</f>
        <v>30303</v>
      </c>
    </row>
    <row r="13" spans="1:15" x14ac:dyDescent="0.25">
      <c r="A13" s="4">
        <v>9</v>
      </c>
      <c r="B13" s="3" t="s">
        <v>25</v>
      </c>
      <c r="C13" s="8">
        <v>161177</v>
      </c>
      <c r="D13" s="8">
        <v>11789</v>
      </c>
      <c r="E13" s="5">
        <v>60483</v>
      </c>
      <c r="F13" s="5">
        <f>32823+18836</f>
        <v>51659</v>
      </c>
      <c r="G13" s="5">
        <f t="shared" si="3"/>
        <v>11818.378199999999</v>
      </c>
      <c r="H13" s="5">
        <f t="shared" si="4"/>
        <v>16417.230200000002</v>
      </c>
      <c r="I13" s="5"/>
      <c r="J13" s="6">
        <f t="shared" si="0"/>
        <v>28235.608400000001</v>
      </c>
      <c r="K13" s="9">
        <f t="shared" si="1"/>
        <v>184600.3916</v>
      </c>
      <c r="L13" s="5">
        <v>5646</v>
      </c>
      <c r="M13" s="5">
        <f>3083+1791</f>
        <v>4874</v>
      </c>
      <c r="N13" s="5"/>
      <c r="O13" s="9">
        <f t="shared" si="2"/>
        <v>16663</v>
      </c>
    </row>
    <row r="14" spans="1:15" x14ac:dyDescent="0.25">
      <c r="A14" s="4">
        <v>10</v>
      </c>
      <c r="B14" s="3" t="s">
        <v>26</v>
      </c>
      <c r="C14" s="8">
        <v>-3537</v>
      </c>
      <c r="D14" s="8">
        <v>45177</v>
      </c>
      <c r="E14" s="5">
        <v>23620</v>
      </c>
      <c r="F14" s="5">
        <f>15064+9403</f>
        <v>24467</v>
      </c>
      <c r="G14" s="5">
        <f t="shared" si="3"/>
        <v>4615.348</v>
      </c>
      <c r="H14" s="5">
        <f t="shared" si="4"/>
        <v>7775.6126000000004</v>
      </c>
      <c r="I14" s="5"/>
      <c r="J14" s="6">
        <f t="shared" si="0"/>
        <v>12390.9606</v>
      </c>
      <c r="K14" s="9">
        <f t="shared" si="1"/>
        <v>8539.0393999999997</v>
      </c>
      <c r="L14" s="5">
        <v>2387</v>
      </c>
      <c r="M14" s="5">
        <f>1562+797</f>
        <v>2359</v>
      </c>
      <c r="N14" s="5"/>
      <c r="O14" s="9">
        <f t="shared" si="2"/>
        <v>47536</v>
      </c>
    </row>
    <row r="15" spans="1:15" x14ac:dyDescent="0.25">
      <c r="A15" s="4">
        <v>11</v>
      </c>
      <c r="B15" s="3" t="s">
        <v>27</v>
      </c>
      <c r="C15" s="8">
        <v>31355</v>
      </c>
      <c r="D15" s="8">
        <v>44671</v>
      </c>
      <c r="E15" s="5">
        <v>24031</v>
      </c>
      <c r="F15" s="5">
        <f>13230+7692</f>
        <v>20922</v>
      </c>
      <c r="G15" s="5">
        <f t="shared" si="3"/>
        <v>4695.6574000000001</v>
      </c>
      <c r="H15" s="5">
        <f t="shared" si="4"/>
        <v>6649.0116000000007</v>
      </c>
      <c r="I15" s="5">
        <v>1897</v>
      </c>
      <c r="J15" s="6">
        <f t="shared" si="0"/>
        <v>13241.669000000002</v>
      </c>
      <c r="K15" s="9">
        <f t="shared" si="1"/>
        <v>39035.330999999998</v>
      </c>
      <c r="L15" s="5">
        <v>2199</v>
      </c>
      <c r="M15" s="5">
        <f>1202+702</f>
        <v>1904</v>
      </c>
      <c r="N15" s="5"/>
      <c r="O15" s="9">
        <f t="shared" si="2"/>
        <v>46575</v>
      </c>
    </row>
    <row r="16" spans="1:15" x14ac:dyDescent="0.25">
      <c r="A16" s="4">
        <v>12</v>
      </c>
      <c r="B16" s="3" t="s">
        <v>28</v>
      </c>
      <c r="C16" s="8">
        <v>72936</v>
      </c>
      <c r="D16" s="8">
        <v>43454</v>
      </c>
      <c r="E16" s="5">
        <f>21594</f>
        <v>21594</v>
      </c>
      <c r="F16" s="5">
        <f>12144+5834</f>
        <v>17978</v>
      </c>
      <c r="G16" s="5">
        <f>E16*19.78%</f>
        <v>4271.2932000000001</v>
      </c>
      <c r="H16" s="5">
        <f>F16*33.13%</f>
        <v>5956.1114000000007</v>
      </c>
      <c r="I16" s="5"/>
      <c r="J16" s="6">
        <f t="shared" si="0"/>
        <v>10227.404600000002</v>
      </c>
      <c r="K16" s="9">
        <f t="shared" si="1"/>
        <v>80686.595399999991</v>
      </c>
      <c r="L16" s="5">
        <v>2341</v>
      </c>
      <c r="M16" s="5">
        <f>1323+631</f>
        <v>1954</v>
      </c>
      <c r="N16" s="5"/>
      <c r="O16" s="9">
        <f t="shared" si="2"/>
        <v>45408</v>
      </c>
    </row>
    <row r="17" spans="1:15" x14ac:dyDescent="0.25">
      <c r="A17" s="4">
        <v>13</v>
      </c>
      <c r="B17" s="3" t="s">
        <v>29</v>
      </c>
      <c r="C17" s="8">
        <v>75320</v>
      </c>
      <c r="D17" s="8">
        <v>16639</v>
      </c>
      <c r="E17" s="5">
        <v>43699</v>
      </c>
      <c r="F17" s="5">
        <f>26673+12070</f>
        <v>38743</v>
      </c>
      <c r="G17" s="5">
        <f>E17*19.78%</f>
        <v>8643.6622000000007</v>
      </c>
      <c r="H17" s="5">
        <f>F17*33.13%</f>
        <v>12835.555900000001</v>
      </c>
      <c r="I17" s="5"/>
      <c r="J17" s="6">
        <f t="shared" si="0"/>
        <v>21479.218100000002</v>
      </c>
      <c r="K17" s="9">
        <f t="shared" si="1"/>
        <v>92583.781900000002</v>
      </c>
      <c r="L17" s="5">
        <v>4395</v>
      </c>
      <c r="M17" s="5">
        <f>2764+1557</f>
        <v>4321</v>
      </c>
      <c r="N17" s="5"/>
      <c r="O17" s="9">
        <f t="shared" si="2"/>
        <v>20960</v>
      </c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8.75" x14ac:dyDescent="0.3">
      <c r="A19" s="23" t="s">
        <v>30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/>
    </row>
    <row r="20" spans="1:15" x14ac:dyDescent="0.25">
      <c r="A20" s="4">
        <v>14</v>
      </c>
      <c r="B20" s="4" t="s">
        <v>31</v>
      </c>
      <c r="C20" s="8">
        <v>57965</v>
      </c>
      <c r="D20" s="8">
        <v>41476</v>
      </c>
      <c r="E20" s="10">
        <v>18463</v>
      </c>
      <c r="F20" s="10">
        <f>11632+6165</f>
        <v>17797</v>
      </c>
      <c r="G20" s="10">
        <f>E20*20.85%</f>
        <v>3849.5355000000004</v>
      </c>
      <c r="H20" s="10">
        <f>F20*35.39%</f>
        <v>6298.3582999999999</v>
      </c>
      <c r="I20" s="10">
        <v>13041</v>
      </c>
      <c r="J20" s="8">
        <f>G20+H20+I20</f>
        <v>23188.893799999998</v>
      </c>
      <c r="K20" s="9">
        <f>C20+F20-J20</f>
        <v>52573.106200000002</v>
      </c>
      <c r="L20" s="10">
        <v>2417</v>
      </c>
      <c r="M20" s="10">
        <f>1526+867</f>
        <v>2393</v>
      </c>
      <c r="N20" s="10"/>
      <c r="O20" s="9">
        <f>D20+M20-N20</f>
        <v>43869</v>
      </c>
    </row>
    <row r="21" spans="1:15" x14ac:dyDescent="0.25">
      <c r="A21" s="4">
        <v>15</v>
      </c>
      <c r="B21" s="4" t="s">
        <v>36</v>
      </c>
      <c r="C21" s="8">
        <v>-2392</v>
      </c>
      <c r="D21" s="8">
        <v>41862</v>
      </c>
      <c r="E21" s="10">
        <v>25279</v>
      </c>
      <c r="F21" s="10">
        <f>15499+8247</f>
        <v>23746</v>
      </c>
      <c r="G21" s="10">
        <f t="shared" ref="G21:G28" si="5">E21*20.85%</f>
        <v>5270.6715000000004</v>
      </c>
      <c r="H21" s="10">
        <f t="shared" ref="H21:H28" si="6">F21*35.39%</f>
        <v>8403.7093999999997</v>
      </c>
      <c r="I21" s="10">
        <v>366</v>
      </c>
      <c r="J21" s="8">
        <f t="shared" ref="J21:J35" si="7">G21+H21+I21</f>
        <v>14040.3809</v>
      </c>
      <c r="K21" s="9">
        <f t="shared" ref="K21:K35" si="8">C21+F21-J21</f>
        <v>7313.6190999999999</v>
      </c>
      <c r="L21" s="10">
        <v>3157</v>
      </c>
      <c r="M21" s="10">
        <f>1941+1041</f>
        <v>2982</v>
      </c>
      <c r="N21" s="10"/>
      <c r="O21" s="9">
        <f t="shared" ref="O21:O35" si="9">D21+M21-N21</f>
        <v>44844</v>
      </c>
    </row>
    <row r="22" spans="1:15" x14ac:dyDescent="0.25">
      <c r="A22" s="4">
        <v>16</v>
      </c>
      <c r="B22" s="4" t="s">
        <v>32</v>
      </c>
      <c r="C22" s="8">
        <v>-44846</v>
      </c>
      <c r="D22" s="8">
        <v>29606</v>
      </c>
      <c r="E22" s="10">
        <v>17046</v>
      </c>
      <c r="F22" s="10">
        <f>7431+4538</f>
        <v>11969</v>
      </c>
      <c r="G22" s="10">
        <f t="shared" si="5"/>
        <v>3554.0910000000003</v>
      </c>
      <c r="H22" s="10">
        <f t="shared" si="6"/>
        <v>4235.8290999999999</v>
      </c>
      <c r="I22" s="10">
        <v>3083</v>
      </c>
      <c r="J22" s="8">
        <f t="shared" si="7"/>
        <v>10872.920099999999</v>
      </c>
      <c r="K22" s="9">
        <f t="shared" si="8"/>
        <v>-43749.920100000003</v>
      </c>
      <c r="L22" s="10">
        <v>1666</v>
      </c>
      <c r="M22" s="10">
        <f>899+612</f>
        <v>1511</v>
      </c>
      <c r="N22" s="10"/>
      <c r="O22" s="9">
        <f t="shared" si="9"/>
        <v>31117</v>
      </c>
    </row>
    <row r="23" spans="1:15" x14ac:dyDescent="0.25">
      <c r="A23" s="4">
        <v>17</v>
      </c>
      <c r="B23" s="4" t="s">
        <v>33</v>
      </c>
      <c r="C23" s="8">
        <v>-74256</v>
      </c>
      <c r="D23" s="8">
        <v>13808</v>
      </c>
      <c r="E23" s="10">
        <v>12048</v>
      </c>
      <c r="F23" s="10">
        <f>6040+2795</f>
        <v>8835</v>
      </c>
      <c r="G23" s="10">
        <f t="shared" si="5"/>
        <v>2512.0080000000003</v>
      </c>
      <c r="H23" s="10">
        <f t="shared" si="6"/>
        <v>3126.7064999999998</v>
      </c>
      <c r="I23" s="10">
        <v>1695</v>
      </c>
      <c r="J23" s="8">
        <f t="shared" si="7"/>
        <v>7333.7145</v>
      </c>
      <c r="K23" s="9">
        <f t="shared" si="8"/>
        <v>-72754.714500000002</v>
      </c>
      <c r="L23" s="10">
        <v>737</v>
      </c>
      <c r="M23" s="10">
        <f>450+200</f>
        <v>650</v>
      </c>
      <c r="N23" s="10"/>
      <c r="O23" s="9">
        <f t="shared" si="9"/>
        <v>14458</v>
      </c>
    </row>
    <row r="24" spans="1:15" x14ac:dyDescent="0.25">
      <c r="A24" s="4">
        <v>18</v>
      </c>
      <c r="B24" s="4" t="s">
        <v>34</v>
      </c>
      <c r="C24" s="8">
        <v>-44278</v>
      </c>
      <c r="D24" s="8">
        <v>43545</v>
      </c>
      <c r="E24" s="10">
        <v>18429</v>
      </c>
      <c r="F24" s="10">
        <f>13818+4418</f>
        <v>18236</v>
      </c>
      <c r="G24" s="10">
        <f t="shared" si="5"/>
        <v>3842.4465000000005</v>
      </c>
      <c r="H24" s="10">
        <f t="shared" si="6"/>
        <v>6453.7204000000002</v>
      </c>
      <c r="I24" s="10"/>
      <c r="J24" s="8">
        <f t="shared" si="7"/>
        <v>10296.1669</v>
      </c>
      <c r="K24" s="9">
        <f t="shared" si="8"/>
        <v>-36338.166899999997</v>
      </c>
      <c r="L24" s="10">
        <v>2412</v>
      </c>
      <c r="M24" s="10">
        <f>1823+607</f>
        <v>2430</v>
      </c>
      <c r="N24" s="10"/>
      <c r="O24" s="9">
        <f t="shared" si="9"/>
        <v>45975</v>
      </c>
    </row>
    <row r="25" spans="1:15" x14ac:dyDescent="0.25">
      <c r="A25" s="4">
        <v>19</v>
      </c>
      <c r="B25" s="4" t="s">
        <v>35</v>
      </c>
      <c r="C25" s="8">
        <v>59828</v>
      </c>
      <c r="D25" s="8">
        <v>34089</v>
      </c>
      <c r="E25" s="10">
        <v>18325</v>
      </c>
      <c r="F25" s="10">
        <f>11038+6741</f>
        <v>17779</v>
      </c>
      <c r="G25" s="10">
        <f t="shared" si="5"/>
        <v>3820.7625000000003</v>
      </c>
      <c r="H25" s="10">
        <f t="shared" si="6"/>
        <v>6291.9880999999996</v>
      </c>
      <c r="I25" s="10"/>
      <c r="J25" s="8">
        <f t="shared" si="7"/>
        <v>10112.750599999999</v>
      </c>
      <c r="K25" s="9">
        <f t="shared" si="8"/>
        <v>67494.249400000001</v>
      </c>
      <c r="L25" s="10">
        <v>2223</v>
      </c>
      <c r="M25" s="10">
        <f>1339+741</f>
        <v>2080</v>
      </c>
      <c r="N25" s="10"/>
      <c r="O25" s="9">
        <f t="shared" si="9"/>
        <v>36169</v>
      </c>
    </row>
    <row r="26" spans="1:15" x14ac:dyDescent="0.25">
      <c r="A26" s="4">
        <v>20</v>
      </c>
      <c r="B26" s="4" t="s">
        <v>37</v>
      </c>
      <c r="C26" s="8">
        <v>8783</v>
      </c>
      <c r="D26" s="8">
        <v>32143</v>
      </c>
      <c r="E26" s="10">
        <v>18553</v>
      </c>
      <c r="F26" s="10">
        <f>12679+6317</f>
        <v>18996</v>
      </c>
      <c r="G26" s="10">
        <f t="shared" si="5"/>
        <v>3868.3005000000003</v>
      </c>
      <c r="H26" s="10">
        <f t="shared" si="6"/>
        <v>6722.6844000000001</v>
      </c>
      <c r="I26" s="10"/>
      <c r="J26" s="8">
        <f t="shared" si="7"/>
        <v>10590.984899999999</v>
      </c>
      <c r="K26" s="9">
        <f t="shared" si="8"/>
        <v>17188.015100000001</v>
      </c>
      <c r="L26" s="10">
        <v>1605</v>
      </c>
      <c r="M26" s="10">
        <f>1127+631</f>
        <v>1758</v>
      </c>
      <c r="N26" s="10"/>
      <c r="O26" s="9">
        <f t="shared" si="9"/>
        <v>33901</v>
      </c>
    </row>
    <row r="27" spans="1:15" x14ac:dyDescent="0.25">
      <c r="A27" s="4">
        <v>21</v>
      </c>
      <c r="B27" s="4" t="s">
        <v>38</v>
      </c>
      <c r="C27" s="8">
        <v>-46604</v>
      </c>
      <c r="D27" s="8">
        <v>40468</v>
      </c>
      <c r="E27" s="10">
        <f>25911</f>
        <v>25911</v>
      </c>
      <c r="F27" s="10">
        <f>13271+8203</f>
        <v>21474</v>
      </c>
      <c r="G27" s="10">
        <f t="shared" si="5"/>
        <v>5402.4435000000003</v>
      </c>
      <c r="H27" s="10">
        <f t="shared" si="6"/>
        <v>7599.6485999999995</v>
      </c>
      <c r="I27" s="10"/>
      <c r="J27" s="8">
        <f t="shared" si="7"/>
        <v>13002.0921</v>
      </c>
      <c r="K27" s="9">
        <f t="shared" si="8"/>
        <v>-38132.092100000002</v>
      </c>
      <c r="L27" s="10">
        <v>2774</v>
      </c>
      <c r="M27" s="10">
        <f>1470+938</f>
        <v>2408</v>
      </c>
      <c r="N27" s="10"/>
      <c r="O27" s="9">
        <f t="shared" si="9"/>
        <v>42876</v>
      </c>
    </row>
    <row r="28" spans="1:15" x14ac:dyDescent="0.25">
      <c r="A28" s="4">
        <v>22</v>
      </c>
      <c r="B28" s="4" t="s">
        <v>39</v>
      </c>
      <c r="C28" s="8">
        <v>-29895</v>
      </c>
      <c r="D28" s="8">
        <v>50288</v>
      </c>
      <c r="E28" s="10">
        <v>25755</v>
      </c>
      <c r="F28" s="10">
        <f>14672+8934</f>
        <v>23606</v>
      </c>
      <c r="G28" s="10">
        <f t="shared" si="5"/>
        <v>5369.9175000000005</v>
      </c>
      <c r="H28" s="10">
        <f t="shared" si="6"/>
        <v>8354.1633999999995</v>
      </c>
      <c r="I28" s="10"/>
      <c r="J28" s="8">
        <f t="shared" si="7"/>
        <v>13724.080900000001</v>
      </c>
      <c r="K28" s="9">
        <f t="shared" si="8"/>
        <v>-20013.080900000001</v>
      </c>
      <c r="L28" s="10">
        <v>3371</v>
      </c>
      <c r="M28" s="10">
        <f>1927+1171</f>
        <v>3098</v>
      </c>
      <c r="N28" s="10"/>
      <c r="O28" s="9">
        <f t="shared" si="9"/>
        <v>53386</v>
      </c>
    </row>
    <row r="29" spans="1:15" x14ac:dyDescent="0.25">
      <c r="A29" s="4">
        <v>23</v>
      </c>
      <c r="B29" s="4" t="s">
        <v>40</v>
      </c>
      <c r="C29" s="8">
        <v>-18446</v>
      </c>
      <c r="D29" s="8">
        <v>34746</v>
      </c>
      <c r="E29" s="10">
        <v>13131</v>
      </c>
      <c r="F29" s="10">
        <f>4987+4057</f>
        <v>9044</v>
      </c>
      <c r="G29" s="10">
        <f>E29*20.51%</f>
        <v>2693.1680999999999</v>
      </c>
      <c r="H29" s="10">
        <f>F29*37.68%</f>
        <v>3407.7792000000004</v>
      </c>
      <c r="I29" s="10">
        <v>9605</v>
      </c>
      <c r="J29" s="8">
        <f t="shared" si="7"/>
        <v>15705.9473</v>
      </c>
      <c r="K29" s="9">
        <f t="shared" si="8"/>
        <v>-25107.9473</v>
      </c>
      <c r="L29" s="10">
        <v>1888</v>
      </c>
      <c r="M29" s="10">
        <f>730+584</f>
        <v>1314</v>
      </c>
      <c r="N29" s="10"/>
      <c r="O29" s="9">
        <f t="shared" si="9"/>
        <v>36060</v>
      </c>
    </row>
    <row r="30" spans="1:15" x14ac:dyDescent="0.25">
      <c r="A30" s="4">
        <v>24</v>
      </c>
      <c r="B30" s="4" t="s">
        <v>41</v>
      </c>
      <c r="C30" s="8">
        <v>111195</v>
      </c>
      <c r="D30" s="8">
        <v>22415</v>
      </c>
      <c r="E30" s="10">
        <v>16968</v>
      </c>
      <c r="F30" s="10">
        <f>3602+2318</f>
        <v>5920</v>
      </c>
      <c r="G30" s="10">
        <f>E30*20.85%</f>
        <v>3537.8280000000004</v>
      </c>
      <c r="H30" s="10">
        <f>F30*35.39%</f>
        <v>2095.0879999999997</v>
      </c>
      <c r="I30" s="10">
        <v>1695</v>
      </c>
      <c r="J30" s="8">
        <f t="shared" si="7"/>
        <v>7327.9160000000002</v>
      </c>
      <c r="K30" s="9">
        <f t="shared" si="8"/>
        <v>109787.084</v>
      </c>
      <c r="L30" s="10">
        <v>1985</v>
      </c>
      <c r="M30" s="10">
        <f>717+467</f>
        <v>1184</v>
      </c>
      <c r="N30" s="10"/>
      <c r="O30" s="9">
        <f t="shared" si="9"/>
        <v>23599</v>
      </c>
    </row>
    <row r="31" spans="1:15" x14ac:dyDescent="0.25">
      <c r="A31" s="4">
        <v>25</v>
      </c>
      <c r="B31" s="4" t="s">
        <v>42</v>
      </c>
      <c r="C31" s="8">
        <v>-17865</v>
      </c>
      <c r="D31" s="8">
        <v>21426</v>
      </c>
      <c r="E31" s="10">
        <v>9067</v>
      </c>
      <c r="F31" s="10">
        <f>5341+3120</f>
        <v>8461</v>
      </c>
      <c r="G31" s="10">
        <f t="shared" ref="G31:G33" si="10">E31*20.85%</f>
        <v>1890.4695000000002</v>
      </c>
      <c r="H31" s="10">
        <f t="shared" ref="H31:H33" si="11">F31*35.39%</f>
        <v>2994.3478999999998</v>
      </c>
      <c r="I31" s="10"/>
      <c r="J31" s="8">
        <f t="shared" si="7"/>
        <v>4884.8173999999999</v>
      </c>
      <c r="K31" s="9">
        <f t="shared" si="8"/>
        <v>-14288.8174</v>
      </c>
      <c r="L31" s="10">
        <v>1187</v>
      </c>
      <c r="M31" s="10">
        <f>699+395</f>
        <v>1094</v>
      </c>
      <c r="N31" s="10"/>
      <c r="O31" s="9">
        <f t="shared" si="9"/>
        <v>22520</v>
      </c>
    </row>
    <row r="32" spans="1:15" x14ac:dyDescent="0.25">
      <c r="A32" s="4">
        <v>26</v>
      </c>
      <c r="B32" s="4" t="s">
        <v>43</v>
      </c>
      <c r="C32" s="8">
        <v>15126</v>
      </c>
      <c r="D32" s="8">
        <v>16363</v>
      </c>
      <c r="E32" s="10">
        <v>8858</v>
      </c>
      <c r="F32" s="10">
        <f>4676+2372</f>
        <v>7048</v>
      </c>
      <c r="G32" s="10">
        <f t="shared" si="10"/>
        <v>1846.8930000000003</v>
      </c>
      <c r="H32" s="10">
        <f t="shared" si="11"/>
        <v>2494.2871999999998</v>
      </c>
      <c r="I32" s="10"/>
      <c r="J32" s="8">
        <f t="shared" si="7"/>
        <v>4341.1801999999998</v>
      </c>
      <c r="K32" s="9">
        <f t="shared" si="8"/>
        <v>17832.819800000001</v>
      </c>
      <c r="L32" s="10">
        <v>1017</v>
      </c>
      <c r="M32" s="10">
        <f>474+546</f>
        <v>1020</v>
      </c>
      <c r="N32" s="10"/>
      <c r="O32" s="9">
        <f t="shared" si="9"/>
        <v>17383</v>
      </c>
    </row>
    <row r="33" spans="1:15" x14ac:dyDescent="0.25">
      <c r="A33" s="4">
        <v>27</v>
      </c>
      <c r="B33" s="4" t="s">
        <v>44</v>
      </c>
      <c r="C33" s="8">
        <v>-37420</v>
      </c>
      <c r="D33" s="8">
        <v>12287</v>
      </c>
      <c r="E33" s="10">
        <v>7088</v>
      </c>
      <c r="F33" s="10">
        <f>4142+1780</f>
        <v>5922</v>
      </c>
      <c r="G33" s="10">
        <f t="shared" si="10"/>
        <v>1477.8480000000002</v>
      </c>
      <c r="H33" s="10">
        <f t="shared" si="11"/>
        <v>2095.7957999999999</v>
      </c>
      <c r="I33" s="10"/>
      <c r="J33" s="8">
        <f t="shared" si="7"/>
        <v>3573.6437999999998</v>
      </c>
      <c r="K33" s="9">
        <f t="shared" si="8"/>
        <v>-35071.643799999998</v>
      </c>
      <c r="L33" s="10">
        <v>702</v>
      </c>
      <c r="M33" s="10">
        <f>391+157</f>
        <v>548</v>
      </c>
      <c r="N33" s="10"/>
      <c r="O33" s="9">
        <f t="shared" si="9"/>
        <v>12835</v>
      </c>
    </row>
    <row r="34" spans="1:15" x14ac:dyDescent="0.25">
      <c r="A34" s="4">
        <v>28</v>
      </c>
      <c r="B34" s="4" t="s">
        <v>45</v>
      </c>
      <c r="C34" s="8">
        <v>33917</v>
      </c>
      <c r="D34" s="8">
        <v>39339</v>
      </c>
      <c r="E34" s="10">
        <v>17717</v>
      </c>
      <c r="F34" s="10">
        <f>7675+6338</f>
        <v>14013</v>
      </c>
      <c r="G34" s="10">
        <f>E34*20.15%</f>
        <v>3569.9754999999996</v>
      </c>
      <c r="H34" s="10">
        <f>F34*37.14%</f>
        <v>5204.4282000000003</v>
      </c>
      <c r="I34" s="10"/>
      <c r="J34" s="8">
        <f t="shared" si="7"/>
        <v>8774.4036999999989</v>
      </c>
      <c r="K34" s="9">
        <f t="shared" si="8"/>
        <v>39155.596300000005</v>
      </c>
      <c r="L34" s="10">
        <v>2021</v>
      </c>
      <c r="M34" s="10">
        <f>1002+769</f>
        <v>1771</v>
      </c>
      <c r="N34" s="10"/>
      <c r="O34" s="9">
        <f t="shared" si="9"/>
        <v>41110</v>
      </c>
    </row>
    <row r="35" spans="1:15" x14ac:dyDescent="0.25">
      <c r="A35" s="4">
        <v>29</v>
      </c>
      <c r="B35" s="4" t="s">
        <v>46</v>
      </c>
      <c r="C35" s="8">
        <v>41562</v>
      </c>
      <c r="D35" s="8">
        <v>36346</v>
      </c>
      <c r="E35" s="10">
        <v>18386</v>
      </c>
      <c r="F35" s="10">
        <f>10976+6069</f>
        <v>17045</v>
      </c>
      <c r="G35" s="10">
        <f>E35*20.85%</f>
        <v>3833.4810000000002</v>
      </c>
      <c r="H35" s="10">
        <f>F35*35.39%</f>
        <v>6032.2254999999996</v>
      </c>
      <c r="I35" s="10"/>
      <c r="J35" s="8">
        <f t="shared" si="7"/>
        <v>9865.7065000000002</v>
      </c>
      <c r="K35" s="9">
        <f t="shared" si="8"/>
        <v>48741.2935</v>
      </c>
      <c r="L35" s="10">
        <v>1829</v>
      </c>
      <c r="M35" s="10">
        <f>1110+667</f>
        <v>1777</v>
      </c>
      <c r="N35" s="10"/>
      <c r="O35" s="9">
        <f t="shared" si="9"/>
        <v>38123</v>
      </c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8.75" x14ac:dyDescent="0.3">
      <c r="A37" s="23" t="s">
        <v>47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</row>
    <row r="38" spans="1:15" x14ac:dyDescent="0.25">
      <c r="A38" s="4">
        <v>30</v>
      </c>
      <c r="B38" s="4" t="s">
        <v>48</v>
      </c>
      <c r="C38" s="8">
        <v>21985</v>
      </c>
      <c r="D38" s="8">
        <v>-16200</v>
      </c>
      <c r="E38" s="10">
        <v>7994</v>
      </c>
      <c r="F38" s="10">
        <f>3546+2267</f>
        <v>5813</v>
      </c>
      <c r="G38" s="10">
        <f>E38*20.98%</f>
        <v>1677.1412</v>
      </c>
      <c r="H38" s="10">
        <f>F38*30%</f>
        <v>1743.8999999999999</v>
      </c>
      <c r="I38" s="10"/>
      <c r="J38" s="8">
        <f>G38+H38+I38</f>
        <v>3421.0411999999997</v>
      </c>
      <c r="K38" s="9">
        <f>C38+F38-J38</f>
        <v>24376.9588</v>
      </c>
      <c r="L38" s="10">
        <v>1019</v>
      </c>
      <c r="M38" s="10">
        <f>420+320</f>
        <v>740</v>
      </c>
      <c r="N38" s="10"/>
      <c r="O38" s="9">
        <f>D38+M38-N38</f>
        <v>-15460</v>
      </c>
    </row>
    <row r="39" spans="1:15" x14ac:dyDescent="0.25">
      <c r="A39" s="4">
        <v>31</v>
      </c>
      <c r="B39" s="4" t="s">
        <v>49</v>
      </c>
      <c r="C39" s="8">
        <v>37642</v>
      </c>
      <c r="D39" s="8">
        <v>9731</v>
      </c>
      <c r="E39" s="10">
        <v>7506</v>
      </c>
      <c r="F39" s="10">
        <f>3831+3649</f>
        <v>7480</v>
      </c>
      <c r="G39" s="10">
        <f t="shared" ref="G39:G40" si="12">E39*20.98%</f>
        <v>1574.7588000000001</v>
      </c>
      <c r="H39" s="10">
        <f t="shared" ref="H39:H40" si="13">F39*30%</f>
        <v>2244</v>
      </c>
      <c r="I39" s="10"/>
      <c r="J39" s="8">
        <f t="shared" ref="J39:J40" si="14">G39+H39+I39</f>
        <v>3818.7588000000001</v>
      </c>
      <c r="K39" s="9">
        <f>C39+F39-J39</f>
        <v>41303.241199999997</v>
      </c>
      <c r="L39" s="10">
        <v>802</v>
      </c>
      <c r="M39" s="10">
        <f>317+372</f>
        <v>689</v>
      </c>
      <c r="N39" s="10"/>
      <c r="O39" s="9">
        <f>D39+M39-N39</f>
        <v>10420</v>
      </c>
    </row>
    <row r="40" spans="1:15" x14ac:dyDescent="0.25">
      <c r="A40" s="4">
        <v>32</v>
      </c>
      <c r="B40" s="4" t="s">
        <v>60</v>
      </c>
      <c r="C40" s="8">
        <v>20607</v>
      </c>
      <c r="D40" s="10"/>
      <c r="E40" s="10">
        <v>4583</v>
      </c>
      <c r="F40" s="10">
        <f>2011</f>
        <v>2011</v>
      </c>
      <c r="G40" s="10">
        <f t="shared" si="12"/>
        <v>961.51340000000005</v>
      </c>
      <c r="H40" s="10">
        <f t="shared" si="13"/>
        <v>603.29999999999995</v>
      </c>
      <c r="I40" s="10">
        <v>15134</v>
      </c>
      <c r="J40" s="8">
        <f t="shared" si="14"/>
        <v>16698.813399999999</v>
      </c>
      <c r="K40" s="9">
        <f>C40+F40-J40</f>
        <v>5919.1866000000009</v>
      </c>
      <c r="L40" s="10">
        <v>639</v>
      </c>
      <c r="M40" s="10">
        <v>356</v>
      </c>
      <c r="N40" s="11"/>
      <c r="O40" s="9">
        <f>D40+M40-N40</f>
        <v>356</v>
      </c>
    </row>
    <row r="41" spans="1:15" ht="18.75" x14ac:dyDescent="0.3">
      <c r="A41" s="23" t="s">
        <v>50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</row>
    <row r="42" spans="1:15" x14ac:dyDescent="0.25">
      <c r="A42" s="4">
        <v>33</v>
      </c>
      <c r="B42" s="4" t="s">
        <v>51</v>
      </c>
      <c r="C42" s="8">
        <v>-125987</v>
      </c>
      <c r="D42" s="8">
        <v>1704</v>
      </c>
      <c r="E42" s="10">
        <v>9340</v>
      </c>
      <c r="F42" s="10">
        <f>2297+1867</f>
        <v>4164</v>
      </c>
      <c r="G42" s="10">
        <f>E42*20.85%</f>
        <v>1947.39</v>
      </c>
      <c r="H42" s="10">
        <f>F42*35.39%</f>
        <v>1473.6396</v>
      </c>
      <c r="I42" s="10"/>
      <c r="J42" s="8">
        <f>G42+H42+I42</f>
        <v>3421.0295999999998</v>
      </c>
      <c r="K42" s="9">
        <v>-125244</v>
      </c>
      <c r="L42" s="10">
        <v>895</v>
      </c>
      <c r="M42" s="10">
        <f>300+245</f>
        <v>545</v>
      </c>
      <c r="N42" s="10"/>
      <c r="O42" s="9">
        <f>D42+M42-N42</f>
        <v>2249</v>
      </c>
    </row>
    <row r="43" spans="1:15" x14ac:dyDescent="0.25">
      <c r="A43" s="4"/>
      <c r="B43" s="4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</sheetData>
  <mergeCells count="18">
    <mergeCell ref="A1:O1"/>
    <mergeCell ref="A2:A3"/>
    <mergeCell ref="B2:B3"/>
    <mergeCell ref="C2:C3"/>
    <mergeCell ref="D2:D3"/>
    <mergeCell ref="E2:E3"/>
    <mergeCell ref="F2:F3"/>
    <mergeCell ref="G2:I2"/>
    <mergeCell ref="J2:J3"/>
    <mergeCell ref="K2:K3"/>
    <mergeCell ref="A37:O37"/>
    <mergeCell ref="A41:O41"/>
    <mergeCell ref="L2:L3"/>
    <mergeCell ref="M2:M3"/>
    <mergeCell ref="N2:N3"/>
    <mergeCell ref="O2:O3"/>
    <mergeCell ref="A4:O4"/>
    <mergeCell ref="A19:O19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workbookViewId="0">
      <selection sqref="A1:O43"/>
    </sheetView>
  </sheetViews>
  <sheetFormatPr defaultRowHeight="15" x14ac:dyDescent="0.25"/>
  <cols>
    <col min="2" max="2" width="27.7109375" customWidth="1"/>
    <col min="3" max="3" width="13.28515625" customWidth="1"/>
    <col min="4" max="4" width="13.85546875" customWidth="1"/>
    <col min="5" max="5" width="14.7109375" customWidth="1"/>
    <col min="6" max="6" width="13.7109375" customWidth="1"/>
    <col min="7" max="7" width="13" customWidth="1"/>
    <col min="8" max="8" width="15" customWidth="1"/>
    <col min="9" max="9" width="13.28515625" customWidth="1"/>
    <col min="10" max="10" width="15" customWidth="1"/>
    <col min="11" max="12" width="14" customWidth="1"/>
    <col min="13" max="13" width="12.85546875" customWidth="1"/>
    <col min="14" max="14" width="14.5703125" customWidth="1"/>
    <col min="15" max="15" width="14.140625" customWidth="1"/>
  </cols>
  <sheetData>
    <row r="1" spans="1:15" ht="18.75" x14ac:dyDescent="0.25">
      <c r="A1" s="26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x14ac:dyDescent="0.25">
      <c r="A2" s="18" t="s">
        <v>0</v>
      </c>
      <c r="B2" s="18" t="s">
        <v>1</v>
      </c>
      <c r="C2" s="20" t="s">
        <v>62</v>
      </c>
      <c r="D2" s="20" t="s">
        <v>63</v>
      </c>
      <c r="E2" s="20" t="s">
        <v>2</v>
      </c>
      <c r="F2" s="20" t="s">
        <v>3</v>
      </c>
      <c r="G2" s="17" t="s">
        <v>15</v>
      </c>
      <c r="H2" s="17"/>
      <c r="I2" s="17"/>
      <c r="J2" s="20" t="s">
        <v>64</v>
      </c>
      <c r="K2" s="20" t="s">
        <v>65</v>
      </c>
      <c r="L2" s="20" t="s">
        <v>7</v>
      </c>
      <c r="M2" s="20" t="s">
        <v>8</v>
      </c>
      <c r="N2" s="20" t="s">
        <v>66</v>
      </c>
      <c r="O2" s="20" t="s">
        <v>67</v>
      </c>
    </row>
    <row r="3" spans="1:15" ht="31.5" x14ac:dyDescent="0.25">
      <c r="A3" s="19"/>
      <c r="B3" s="19"/>
      <c r="C3" s="21"/>
      <c r="D3" s="21"/>
      <c r="E3" s="21"/>
      <c r="F3" s="21"/>
      <c r="G3" s="1" t="s">
        <v>4</v>
      </c>
      <c r="H3" s="1" t="s">
        <v>5</v>
      </c>
      <c r="I3" s="1" t="s">
        <v>6</v>
      </c>
      <c r="J3" s="21"/>
      <c r="K3" s="21"/>
      <c r="L3" s="21"/>
      <c r="M3" s="21"/>
      <c r="N3" s="21"/>
      <c r="O3" s="21"/>
    </row>
    <row r="4" spans="1:15" ht="18.75" x14ac:dyDescent="0.3">
      <c r="A4" s="22" t="s">
        <v>16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x14ac:dyDescent="0.25">
      <c r="A5" s="4">
        <v>1</v>
      </c>
      <c r="B5" s="13" t="s">
        <v>17</v>
      </c>
      <c r="C5" s="8">
        <v>134946</v>
      </c>
      <c r="D5" s="8">
        <v>-19050</v>
      </c>
      <c r="E5" s="5">
        <v>53937</v>
      </c>
      <c r="F5" s="5">
        <v>55488</v>
      </c>
      <c r="G5" s="5">
        <f>E5*19.78%</f>
        <v>10668.738600000001</v>
      </c>
      <c r="H5" s="5">
        <f>F5*33.13%</f>
        <v>18383.174400000004</v>
      </c>
      <c r="I5" s="5">
        <v>2011</v>
      </c>
      <c r="J5" s="6">
        <f>G5+H5+I5</f>
        <v>31062.913000000004</v>
      </c>
      <c r="K5" s="7">
        <f>C5+F5-J5</f>
        <v>159371.087</v>
      </c>
      <c r="L5" s="5">
        <v>4973</v>
      </c>
      <c r="M5" s="5">
        <v>5006</v>
      </c>
      <c r="N5" s="5"/>
      <c r="O5" s="9">
        <f>D5+M5-N5</f>
        <v>-14044</v>
      </c>
    </row>
    <row r="6" spans="1:15" x14ac:dyDescent="0.25">
      <c r="A6" s="4">
        <v>2</v>
      </c>
      <c r="B6" s="13" t="s">
        <v>18</v>
      </c>
      <c r="C6" s="8">
        <v>-2649</v>
      </c>
      <c r="D6" s="8">
        <v>29137</v>
      </c>
      <c r="E6" s="5">
        <v>22659</v>
      </c>
      <c r="F6" s="5">
        <v>21754</v>
      </c>
      <c r="G6" s="5">
        <f>E6*20.85%</f>
        <v>4724.4015000000009</v>
      </c>
      <c r="H6" s="5">
        <f>F6*35.39%</f>
        <v>7698.7406000000001</v>
      </c>
      <c r="I6" s="5"/>
      <c r="J6" s="6">
        <f t="shared" ref="J6:J17" si="0">G6+H6+I6</f>
        <v>12423.142100000001</v>
      </c>
      <c r="K6" s="7">
        <f>F6+C6-J6</f>
        <v>6681.8578999999991</v>
      </c>
      <c r="L6" s="5">
        <v>2085</v>
      </c>
      <c r="M6" s="5">
        <v>1866</v>
      </c>
      <c r="N6" s="5"/>
      <c r="O6" s="7">
        <f>D6+M6</f>
        <v>31003</v>
      </c>
    </row>
    <row r="7" spans="1:15" x14ac:dyDescent="0.25">
      <c r="A7" s="4">
        <v>3</v>
      </c>
      <c r="B7" s="13" t="s">
        <v>19</v>
      </c>
      <c r="C7" s="8">
        <v>220601</v>
      </c>
      <c r="D7" s="8">
        <v>12811</v>
      </c>
      <c r="E7" s="5">
        <v>53220</v>
      </c>
      <c r="F7" s="5">
        <v>51774</v>
      </c>
      <c r="G7" s="5">
        <f>E7*19.78%</f>
        <v>10526.916000000001</v>
      </c>
      <c r="H7" s="5">
        <f>F7*33.13%</f>
        <v>17152.726200000001</v>
      </c>
      <c r="I7" s="5">
        <v>14177</v>
      </c>
      <c r="J7" s="6">
        <f t="shared" si="0"/>
        <v>41856.642200000002</v>
      </c>
      <c r="K7" s="7">
        <f>C7+F7-J7</f>
        <v>230518.3578</v>
      </c>
      <c r="L7" s="5">
        <v>4530</v>
      </c>
      <c r="M7" s="5">
        <v>4487</v>
      </c>
      <c r="N7" s="5"/>
      <c r="O7" s="7">
        <f>D7+M7</f>
        <v>17298</v>
      </c>
    </row>
    <row r="8" spans="1:15" x14ac:dyDescent="0.25">
      <c r="A8" s="4">
        <v>4</v>
      </c>
      <c r="B8" s="13" t="s">
        <v>20</v>
      </c>
      <c r="C8" s="8">
        <v>-50512</v>
      </c>
      <c r="D8" s="8">
        <v>1309</v>
      </c>
      <c r="E8" s="5">
        <v>18108</v>
      </c>
      <c r="F8" s="5">
        <v>16060</v>
      </c>
      <c r="G8" s="5">
        <f>E8*20.85%</f>
        <v>3775.5180000000005</v>
      </c>
      <c r="H8" s="5">
        <f>F8*35.39%</f>
        <v>5683.634</v>
      </c>
      <c r="I8" s="5"/>
      <c r="J8" s="6">
        <f t="shared" si="0"/>
        <v>9459.152</v>
      </c>
      <c r="K8" s="14">
        <f t="shared" ref="K8" si="1">C8+F8-J8</f>
        <v>-43911.152000000002</v>
      </c>
      <c r="L8" s="5">
        <v>2047</v>
      </c>
      <c r="M8" s="5">
        <v>1754</v>
      </c>
      <c r="N8" s="5"/>
      <c r="O8" s="9">
        <f>D8+M8-N8</f>
        <v>3063</v>
      </c>
    </row>
    <row r="9" spans="1:15" x14ac:dyDescent="0.25">
      <c r="A9" s="4">
        <v>5</v>
      </c>
      <c r="B9" s="13" t="s">
        <v>21</v>
      </c>
      <c r="C9" s="8">
        <v>113331</v>
      </c>
      <c r="D9" s="8">
        <v>72653</v>
      </c>
      <c r="E9" s="5">
        <v>32991</v>
      </c>
      <c r="F9" s="12">
        <v>31834</v>
      </c>
      <c r="G9" s="5">
        <f>E9*19.78%</f>
        <v>6525.6198000000004</v>
      </c>
      <c r="H9" s="5">
        <f>F9*33.13%</f>
        <v>10546.604200000002</v>
      </c>
      <c r="I9" s="5">
        <f>10255+10348</f>
        <v>20603</v>
      </c>
      <c r="J9" s="6">
        <f t="shared" si="0"/>
        <v>37675.224000000002</v>
      </c>
      <c r="K9" s="9">
        <f t="shared" ref="K9:K17" si="2">C9+F9-J9</f>
        <v>107489.776</v>
      </c>
      <c r="L9" s="5">
        <v>3443</v>
      </c>
      <c r="M9" s="5">
        <v>3331</v>
      </c>
      <c r="N9" s="5"/>
      <c r="O9" s="9">
        <f t="shared" ref="O9:O17" si="3">D9+M9</f>
        <v>75984</v>
      </c>
    </row>
    <row r="10" spans="1:15" x14ac:dyDescent="0.25">
      <c r="A10" s="4">
        <v>6</v>
      </c>
      <c r="B10" s="13" t="s">
        <v>22</v>
      </c>
      <c r="C10" s="8">
        <v>24524</v>
      </c>
      <c r="D10" s="8">
        <v>42650</v>
      </c>
      <c r="E10" s="5">
        <v>16551</v>
      </c>
      <c r="F10" s="5">
        <v>15049</v>
      </c>
      <c r="G10" s="5">
        <f>E10*20.51%</f>
        <v>3394.6100999999999</v>
      </c>
      <c r="H10" s="5">
        <f>F10*37.68%</f>
        <v>5670.4632000000001</v>
      </c>
      <c r="I10" s="5">
        <f>4213+7627</f>
        <v>11840</v>
      </c>
      <c r="J10" s="6">
        <f t="shared" si="0"/>
        <v>20905.0733</v>
      </c>
      <c r="K10" s="9">
        <f t="shared" si="2"/>
        <v>18667.9267</v>
      </c>
      <c r="L10" s="5">
        <v>2243</v>
      </c>
      <c r="M10" s="5">
        <v>1989</v>
      </c>
      <c r="N10" s="5">
        <v>40712</v>
      </c>
      <c r="O10" s="9">
        <f>D10+M10-N10</f>
        <v>3927</v>
      </c>
    </row>
    <row r="11" spans="1:15" x14ac:dyDescent="0.25">
      <c r="A11" s="4">
        <v>7</v>
      </c>
      <c r="B11" s="13" t="s">
        <v>23</v>
      </c>
      <c r="C11" s="8">
        <v>158714</v>
      </c>
      <c r="D11" s="8">
        <v>44781</v>
      </c>
      <c r="E11" s="5">
        <v>36339</v>
      </c>
      <c r="F11" s="5">
        <v>33855</v>
      </c>
      <c r="G11" s="5">
        <f>E11*19.54%</f>
        <v>7100.6405999999997</v>
      </c>
      <c r="H11" s="5">
        <f>F11*31.78%</f>
        <v>10759.119000000001</v>
      </c>
      <c r="I11" s="5">
        <v>10529</v>
      </c>
      <c r="J11" s="6">
        <f t="shared" si="0"/>
        <v>28388.759600000001</v>
      </c>
      <c r="K11" s="9">
        <f t="shared" si="2"/>
        <v>164180.24040000001</v>
      </c>
      <c r="L11" s="5">
        <v>2450</v>
      </c>
      <c r="M11" s="5">
        <v>2399</v>
      </c>
      <c r="N11" s="5"/>
      <c r="O11" s="9">
        <f t="shared" si="3"/>
        <v>47180</v>
      </c>
    </row>
    <row r="12" spans="1:15" x14ac:dyDescent="0.25">
      <c r="A12" s="4">
        <v>8</v>
      </c>
      <c r="B12" s="13" t="s">
        <v>24</v>
      </c>
      <c r="C12" s="8">
        <v>127438</v>
      </c>
      <c r="D12" s="8">
        <v>30303</v>
      </c>
      <c r="E12" s="5">
        <v>36520</v>
      </c>
      <c r="F12" s="5">
        <v>35929</v>
      </c>
      <c r="G12" s="5">
        <f t="shared" ref="G12:G15" si="4">E12*19.54%</f>
        <v>7136.0079999999998</v>
      </c>
      <c r="H12" s="5">
        <f t="shared" ref="H12:H15" si="5">F12*31.78%</f>
        <v>11418.236200000001</v>
      </c>
      <c r="I12" s="5">
        <v>4836</v>
      </c>
      <c r="J12" s="6">
        <f t="shared" si="0"/>
        <v>23390.244200000001</v>
      </c>
      <c r="K12" s="9">
        <f t="shared" si="2"/>
        <v>139976.75579999998</v>
      </c>
      <c r="L12" s="5">
        <v>3099</v>
      </c>
      <c r="M12" s="5">
        <v>2848</v>
      </c>
      <c r="N12" s="5"/>
      <c r="O12" s="9">
        <f>D12+M12-N12</f>
        <v>33151</v>
      </c>
    </row>
    <row r="13" spans="1:15" x14ac:dyDescent="0.25">
      <c r="A13" s="4">
        <v>9</v>
      </c>
      <c r="B13" s="13" t="s">
        <v>25</v>
      </c>
      <c r="C13" s="8">
        <v>184600</v>
      </c>
      <c r="D13" s="8">
        <v>16663</v>
      </c>
      <c r="E13" s="5">
        <v>60483</v>
      </c>
      <c r="F13" s="5">
        <v>64592</v>
      </c>
      <c r="G13" s="5">
        <f t="shared" si="4"/>
        <v>11818.378199999999</v>
      </c>
      <c r="H13" s="5">
        <f t="shared" si="5"/>
        <v>20527.337600000003</v>
      </c>
      <c r="I13" s="5">
        <f>11225+13575</f>
        <v>24800</v>
      </c>
      <c r="J13" s="6">
        <f t="shared" si="0"/>
        <v>57145.715800000005</v>
      </c>
      <c r="K13" s="9">
        <f t="shared" si="2"/>
        <v>192046.28419999999</v>
      </c>
      <c r="L13" s="5">
        <v>5646</v>
      </c>
      <c r="M13" s="5">
        <v>5743</v>
      </c>
      <c r="N13" s="5"/>
      <c r="O13" s="9">
        <f t="shared" si="3"/>
        <v>22406</v>
      </c>
    </row>
    <row r="14" spans="1:15" x14ac:dyDescent="0.25">
      <c r="A14" s="4">
        <v>10</v>
      </c>
      <c r="B14" s="13" t="s">
        <v>26</v>
      </c>
      <c r="C14" s="8">
        <v>8539</v>
      </c>
      <c r="D14" s="8">
        <v>47536</v>
      </c>
      <c r="E14" s="5">
        <v>24207</v>
      </c>
      <c r="F14" s="5">
        <v>22239</v>
      </c>
      <c r="G14" s="5">
        <f t="shared" si="4"/>
        <v>4730.0477999999994</v>
      </c>
      <c r="H14" s="5">
        <f t="shared" si="5"/>
        <v>7067.5542000000005</v>
      </c>
      <c r="I14" s="5">
        <v>4518</v>
      </c>
      <c r="J14" s="6">
        <f t="shared" si="0"/>
        <v>16315.601999999999</v>
      </c>
      <c r="K14" s="9">
        <f t="shared" si="2"/>
        <v>14462.398000000001</v>
      </c>
      <c r="L14" s="5">
        <v>2387</v>
      </c>
      <c r="M14" s="5">
        <v>2220</v>
      </c>
      <c r="N14" s="5"/>
      <c r="O14" s="9">
        <f t="shared" si="3"/>
        <v>49756</v>
      </c>
    </row>
    <row r="15" spans="1:15" x14ac:dyDescent="0.25">
      <c r="A15" s="4">
        <v>11</v>
      </c>
      <c r="B15" s="13" t="s">
        <v>27</v>
      </c>
      <c r="C15" s="8">
        <v>39035</v>
      </c>
      <c r="D15" s="8">
        <v>46575</v>
      </c>
      <c r="E15" s="5">
        <v>24031</v>
      </c>
      <c r="F15" s="5">
        <v>26064</v>
      </c>
      <c r="G15" s="5">
        <f t="shared" si="4"/>
        <v>4695.6574000000001</v>
      </c>
      <c r="H15" s="5">
        <f t="shared" si="5"/>
        <v>8283.1392000000014</v>
      </c>
      <c r="I15" s="5">
        <v>1285</v>
      </c>
      <c r="J15" s="6">
        <f t="shared" si="0"/>
        <v>14263.796600000001</v>
      </c>
      <c r="K15" s="9">
        <f t="shared" si="2"/>
        <v>50835.203399999999</v>
      </c>
      <c r="L15" s="5">
        <v>2199</v>
      </c>
      <c r="M15" s="5">
        <v>2417</v>
      </c>
      <c r="N15" s="5"/>
      <c r="O15" s="9">
        <f t="shared" si="3"/>
        <v>48992</v>
      </c>
    </row>
    <row r="16" spans="1:15" x14ac:dyDescent="0.25">
      <c r="A16" s="4">
        <v>12</v>
      </c>
      <c r="B16" s="13" t="s">
        <v>28</v>
      </c>
      <c r="C16" s="8">
        <v>80687</v>
      </c>
      <c r="D16" s="8">
        <v>45408</v>
      </c>
      <c r="E16" s="5">
        <v>21594</v>
      </c>
      <c r="F16" s="5">
        <v>23447</v>
      </c>
      <c r="G16" s="5">
        <f>E16*19.78%</f>
        <v>4271.2932000000001</v>
      </c>
      <c r="H16" s="5">
        <f>F16*33.13%</f>
        <v>7767.9911000000011</v>
      </c>
      <c r="I16" s="5">
        <v>11318</v>
      </c>
      <c r="J16" s="6">
        <f t="shared" si="0"/>
        <v>23357.284299999999</v>
      </c>
      <c r="K16" s="9">
        <f t="shared" si="2"/>
        <v>80776.715700000001</v>
      </c>
      <c r="L16" s="5">
        <v>2341</v>
      </c>
      <c r="M16" s="5">
        <v>2548</v>
      </c>
      <c r="N16" s="5"/>
      <c r="O16" s="9">
        <f t="shared" si="3"/>
        <v>47956</v>
      </c>
    </row>
    <row r="17" spans="1:15" x14ac:dyDescent="0.25">
      <c r="A17" s="4">
        <v>13</v>
      </c>
      <c r="B17" s="13" t="s">
        <v>29</v>
      </c>
      <c r="C17" s="8">
        <v>92584</v>
      </c>
      <c r="D17" s="8">
        <v>20960</v>
      </c>
      <c r="E17" s="5">
        <v>43699</v>
      </c>
      <c r="F17" s="5">
        <v>41945</v>
      </c>
      <c r="G17" s="5">
        <f>E17*19.78%</f>
        <v>8643.6622000000007</v>
      </c>
      <c r="H17" s="5">
        <f>F17*33.13%</f>
        <v>13896.378500000003</v>
      </c>
      <c r="I17" s="5">
        <v>7963</v>
      </c>
      <c r="J17" s="6">
        <f t="shared" si="0"/>
        <v>30503.040700000005</v>
      </c>
      <c r="K17" s="9">
        <f t="shared" si="2"/>
        <v>104025.95929999999</v>
      </c>
      <c r="L17" s="5">
        <v>4395</v>
      </c>
      <c r="M17" s="5">
        <v>4142</v>
      </c>
      <c r="N17" s="5"/>
      <c r="O17" s="9">
        <f t="shared" si="3"/>
        <v>25102</v>
      </c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8.75" x14ac:dyDescent="0.3">
      <c r="A19" s="23" t="s">
        <v>30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/>
    </row>
    <row r="20" spans="1:15" x14ac:dyDescent="0.25">
      <c r="A20" s="4">
        <v>14</v>
      </c>
      <c r="B20" s="4" t="s">
        <v>31</v>
      </c>
      <c r="C20" s="8">
        <v>52573</v>
      </c>
      <c r="D20" s="8">
        <v>43869</v>
      </c>
      <c r="E20" s="10">
        <v>18463</v>
      </c>
      <c r="F20" s="10">
        <v>18756</v>
      </c>
      <c r="G20" s="10">
        <f>E20*20.85%</f>
        <v>3849.5355000000004</v>
      </c>
      <c r="H20" s="10">
        <f>F20*35.39%</f>
        <v>6637.7483999999995</v>
      </c>
      <c r="I20" s="10">
        <v>1272</v>
      </c>
      <c r="J20" s="8">
        <f>G20+H20+I20</f>
        <v>11759.2839</v>
      </c>
      <c r="K20" s="9">
        <f>C20+F20-J20</f>
        <v>59569.716099999998</v>
      </c>
      <c r="L20" s="10">
        <v>2417</v>
      </c>
      <c r="M20" s="10">
        <v>2471</v>
      </c>
      <c r="N20" s="10"/>
      <c r="O20" s="9">
        <f>D20+M20-N20</f>
        <v>46340</v>
      </c>
    </row>
    <row r="21" spans="1:15" x14ac:dyDescent="0.25">
      <c r="A21" s="4">
        <v>15</v>
      </c>
      <c r="B21" s="4" t="s">
        <v>36</v>
      </c>
      <c r="C21" s="8">
        <v>7314</v>
      </c>
      <c r="D21" s="8">
        <v>44844</v>
      </c>
      <c r="E21" s="10">
        <v>25279</v>
      </c>
      <c r="F21" s="10">
        <v>20580</v>
      </c>
      <c r="G21" s="10">
        <f t="shared" ref="G21:G28" si="6">E21*20.85%</f>
        <v>5270.6715000000004</v>
      </c>
      <c r="H21" s="10">
        <f t="shared" ref="H21:H28" si="7">F21*35.39%</f>
        <v>7283.2619999999997</v>
      </c>
      <c r="I21" s="10">
        <v>21669</v>
      </c>
      <c r="J21" s="8">
        <f t="shared" ref="J21:J35" si="8">G21+H21+I21</f>
        <v>34222.933499999999</v>
      </c>
      <c r="K21" s="9">
        <f t="shared" ref="K21:K35" si="9">C21+F21-J21</f>
        <v>-6328.9334999999992</v>
      </c>
      <c r="L21" s="10">
        <v>3157</v>
      </c>
      <c r="M21" s="10">
        <v>3163</v>
      </c>
      <c r="N21" s="10"/>
      <c r="O21" s="9">
        <f t="shared" ref="O21:O35" si="10">D21+M21-N21</f>
        <v>48007</v>
      </c>
    </row>
    <row r="22" spans="1:15" x14ac:dyDescent="0.25">
      <c r="A22" s="4">
        <v>16</v>
      </c>
      <c r="B22" s="4" t="s">
        <v>32</v>
      </c>
      <c r="C22" s="8">
        <v>-43750</v>
      </c>
      <c r="D22" s="8">
        <v>31117</v>
      </c>
      <c r="E22" s="10">
        <v>17046</v>
      </c>
      <c r="F22" s="10">
        <v>15466</v>
      </c>
      <c r="G22" s="10">
        <f t="shared" si="6"/>
        <v>3554.0910000000003</v>
      </c>
      <c r="H22" s="10">
        <f t="shared" si="7"/>
        <v>5473.4174000000003</v>
      </c>
      <c r="I22" s="10">
        <v>7085</v>
      </c>
      <c r="J22" s="8">
        <f t="shared" si="8"/>
        <v>16112.508400000001</v>
      </c>
      <c r="K22" s="9">
        <f t="shared" si="9"/>
        <v>-44396.508399999999</v>
      </c>
      <c r="L22" s="10">
        <v>1666</v>
      </c>
      <c r="M22" s="10">
        <v>1768</v>
      </c>
      <c r="N22" s="10"/>
      <c r="O22" s="9">
        <f t="shared" si="10"/>
        <v>32885</v>
      </c>
    </row>
    <row r="23" spans="1:15" x14ac:dyDescent="0.25">
      <c r="A23" s="4">
        <v>17</v>
      </c>
      <c r="B23" s="4" t="s">
        <v>33</v>
      </c>
      <c r="C23" s="8">
        <v>-72755</v>
      </c>
      <c r="D23" s="8">
        <v>14458</v>
      </c>
      <c r="E23" s="10">
        <v>12048</v>
      </c>
      <c r="F23" s="10">
        <v>11513</v>
      </c>
      <c r="G23" s="10">
        <f t="shared" si="6"/>
        <v>2512.0080000000003</v>
      </c>
      <c r="H23" s="10">
        <f t="shared" si="7"/>
        <v>4074.4506999999999</v>
      </c>
      <c r="I23" s="10">
        <f>11761+23116+2064</f>
        <v>36941</v>
      </c>
      <c r="J23" s="8">
        <f t="shared" si="8"/>
        <v>43527.458700000003</v>
      </c>
      <c r="K23" s="9">
        <f t="shared" si="9"/>
        <v>-104769.4587</v>
      </c>
      <c r="L23" s="10">
        <v>737</v>
      </c>
      <c r="M23" s="10">
        <v>719</v>
      </c>
      <c r="N23" s="10"/>
      <c r="O23" s="9">
        <f t="shared" si="10"/>
        <v>15177</v>
      </c>
    </row>
    <row r="24" spans="1:15" x14ac:dyDescent="0.25">
      <c r="A24" s="4">
        <v>18</v>
      </c>
      <c r="B24" s="4" t="s">
        <v>34</v>
      </c>
      <c r="C24" s="8">
        <v>-36338</v>
      </c>
      <c r="D24" s="8">
        <v>45975</v>
      </c>
      <c r="E24" s="10">
        <v>18449</v>
      </c>
      <c r="F24" s="10">
        <v>15729</v>
      </c>
      <c r="G24" s="10">
        <f t="shared" si="6"/>
        <v>3846.6165000000005</v>
      </c>
      <c r="H24" s="10">
        <f t="shared" si="7"/>
        <v>5566.4930999999997</v>
      </c>
      <c r="I24" s="10">
        <f>8138+9457</f>
        <v>17595</v>
      </c>
      <c r="J24" s="8">
        <f t="shared" si="8"/>
        <v>27008.1096</v>
      </c>
      <c r="K24" s="9">
        <f t="shared" si="9"/>
        <v>-47617.109599999996</v>
      </c>
      <c r="L24" s="10">
        <v>2415</v>
      </c>
      <c r="M24" s="10">
        <v>2081</v>
      </c>
      <c r="N24" s="10"/>
      <c r="O24" s="9">
        <f t="shared" si="10"/>
        <v>48056</v>
      </c>
    </row>
    <row r="25" spans="1:15" x14ac:dyDescent="0.25">
      <c r="A25" s="4">
        <v>19</v>
      </c>
      <c r="B25" s="4" t="s">
        <v>35</v>
      </c>
      <c r="C25" s="8">
        <v>67494</v>
      </c>
      <c r="D25" s="8">
        <v>36169</v>
      </c>
      <c r="E25" s="10">
        <v>18325</v>
      </c>
      <c r="F25" s="10">
        <v>18849</v>
      </c>
      <c r="G25" s="10">
        <f t="shared" si="6"/>
        <v>3820.7625000000003</v>
      </c>
      <c r="H25" s="10">
        <f t="shared" si="7"/>
        <v>6670.6611000000003</v>
      </c>
      <c r="I25" s="10"/>
      <c r="J25" s="8">
        <f t="shared" si="8"/>
        <v>10491.4236</v>
      </c>
      <c r="K25" s="9">
        <f t="shared" si="9"/>
        <v>75851.576400000005</v>
      </c>
      <c r="L25" s="10">
        <v>2223</v>
      </c>
      <c r="M25" s="10">
        <v>2368</v>
      </c>
      <c r="N25" s="10"/>
      <c r="O25" s="9">
        <f t="shared" si="10"/>
        <v>38537</v>
      </c>
    </row>
    <row r="26" spans="1:15" x14ac:dyDescent="0.25">
      <c r="A26" s="4">
        <v>20</v>
      </c>
      <c r="B26" s="4" t="s">
        <v>37</v>
      </c>
      <c r="C26" s="8">
        <v>17188</v>
      </c>
      <c r="D26" s="8">
        <v>33901</v>
      </c>
      <c r="E26" s="10">
        <v>18553</v>
      </c>
      <c r="F26" s="10">
        <v>16733</v>
      </c>
      <c r="G26" s="10">
        <f t="shared" si="6"/>
        <v>3868.3005000000003</v>
      </c>
      <c r="H26" s="10">
        <f t="shared" si="7"/>
        <v>5921.8086999999996</v>
      </c>
      <c r="I26" s="10">
        <v>1285</v>
      </c>
      <c r="J26" s="8">
        <f t="shared" si="8"/>
        <v>11075.109199999999</v>
      </c>
      <c r="K26" s="9">
        <f t="shared" si="9"/>
        <v>22845.890800000001</v>
      </c>
      <c r="L26" s="10">
        <v>1605</v>
      </c>
      <c r="M26" s="10">
        <v>1510</v>
      </c>
      <c r="N26" s="10"/>
      <c r="O26" s="9">
        <f t="shared" si="10"/>
        <v>35411</v>
      </c>
    </row>
    <row r="27" spans="1:15" x14ac:dyDescent="0.25">
      <c r="A27" s="4">
        <v>21</v>
      </c>
      <c r="B27" s="4" t="s">
        <v>38</v>
      </c>
      <c r="C27" s="8">
        <v>-38132</v>
      </c>
      <c r="D27" s="8">
        <v>42876</v>
      </c>
      <c r="E27" s="10">
        <v>25891</v>
      </c>
      <c r="F27" s="10">
        <v>24620</v>
      </c>
      <c r="G27" s="10">
        <f t="shared" si="6"/>
        <v>5398.2735000000002</v>
      </c>
      <c r="H27" s="10">
        <f t="shared" si="7"/>
        <v>8713.018</v>
      </c>
      <c r="I27" s="10">
        <f>5167+2567</f>
        <v>7734</v>
      </c>
      <c r="J27" s="8">
        <f t="shared" si="8"/>
        <v>21845.291499999999</v>
      </c>
      <c r="K27" s="9">
        <f t="shared" si="9"/>
        <v>-35357.291499999999</v>
      </c>
      <c r="L27" s="10">
        <v>2771</v>
      </c>
      <c r="M27" s="10">
        <v>2798</v>
      </c>
      <c r="N27" s="10"/>
      <c r="O27" s="9">
        <f t="shared" si="10"/>
        <v>45674</v>
      </c>
    </row>
    <row r="28" spans="1:15" x14ac:dyDescent="0.25">
      <c r="A28" s="4">
        <v>22</v>
      </c>
      <c r="B28" s="4" t="s">
        <v>39</v>
      </c>
      <c r="C28" s="8">
        <v>-20013</v>
      </c>
      <c r="D28" s="8">
        <v>53386</v>
      </c>
      <c r="E28" s="10">
        <v>25755</v>
      </c>
      <c r="F28" s="10">
        <v>23462</v>
      </c>
      <c r="G28" s="10">
        <f t="shared" si="6"/>
        <v>5369.9175000000005</v>
      </c>
      <c r="H28" s="10">
        <f t="shared" si="7"/>
        <v>8303.2017999999989</v>
      </c>
      <c r="I28" s="10">
        <v>2567</v>
      </c>
      <c r="J28" s="8">
        <f t="shared" si="8"/>
        <v>16240.119299999998</v>
      </c>
      <c r="K28" s="9">
        <f t="shared" si="9"/>
        <v>-12791.119299999998</v>
      </c>
      <c r="L28" s="10">
        <v>3371</v>
      </c>
      <c r="M28" s="10">
        <v>3082</v>
      </c>
      <c r="N28" s="10"/>
      <c r="O28" s="9">
        <f t="shared" si="10"/>
        <v>56468</v>
      </c>
    </row>
    <row r="29" spans="1:15" x14ac:dyDescent="0.25">
      <c r="A29" s="4">
        <v>23</v>
      </c>
      <c r="B29" s="4" t="s">
        <v>40</v>
      </c>
      <c r="C29" s="8">
        <v>-25108</v>
      </c>
      <c r="D29" s="8">
        <v>36060</v>
      </c>
      <c r="E29" s="10">
        <v>13131</v>
      </c>
      <c r="F29" s="10">
        <v>13409</v>
      </c>
      <c r="G29" s="10">
        <f>E29*20.51%</f>
        <v>2693.1680999999999</v>
      </c>
      <c r="H29" s="10">
        <f>F29*37.68%</f>
        <v>5052.5111999999999</v>
      </c>
      <c r="I29" s="10">
        <v>1285</v>
      </c>
      <c r="J29" s="8">
        <f t="shared" si="8"/>
        <v>9030.6792999999998</v>
      </c>
      <c r="K29" s="9">
        <f t="shared" si="9"/>
        <v>-20729.6793</v>
      </c>
      <c r="L29" s="10">
        <v>1888</v>
      </c>
      <c r="M29" s="10">
        <v>1947</v>
      </c>
      <c r="N29" s="10"/>
      <c r="O29" s="9">
        <f t="shared" si="10"/>
        <v>38007</v>
      </c>
    </row>
    <row r="30" spans="1:15" x14ac:dyDescent="0.25">
      <c r="A30" s="4">
        <v>24</v>
      </c>
      <c r="B30" s="4" t="s">
        <v>41</v>
      </c>
      <c r="C30" s="8">
        <v>109787</v>
      </c>
      <c r="D30" s="8">
        <v>23599</v>
      </c>
      <c r="E30" s="10">
        <v>13288</v>
      </c>
      <c r="F30" s="10">
        <v>10332</v>
      </c>
      <c r="G30" s="10">
        <f>E30*20.85%</f>
        <v>2770.5480000000002</v>
      </c>
      <c r="H30" s="10">
        <f>F30*35.39%</f>
        <v>3656.4947999999999</v>
      </c>
      <c r="I30" s="10"/>
      <c r="J30" s="8">
        <f t="shared" si="8"/>
        <v>6427.0428000000002</v>
      </c>
      <c r="K30" s="9">
        <f t="shared" si="9"/>
        <v>113691.9572</v>
      </c>
      <c r="L30" s="10">
        <v>1899</v>
      </c>
      <c r="M30" s="10">
        <v>1767</v>
      </c>
      <c r="N30" s="10"/>
      <c r="O30" s="9">
        <f t="shared" si="10"/>
        <v>25366</v>
      </c>
    </row>
    <row r="31" spans="1:15" x14ac:dyDescent="0.25">
      <c r="A31" s="4">
        <v>25</v>
      </c>
      <c r="B31" s="4" t="s">
        <v>42</v>
      </c>
      <c r="C31" s="8">
        <v>-14289</v>
      </c>
      <c r="D31" s="8">
        <v>22520</v>
      </c>
      <c r="E31" s="10">
        <v>9067</v>
      </c>
      <c r="F31" s="10">
        <v>9297</v>
      </c>
      <c r="G31" s="10">
        <f t="shared" ref="G31:G33" si="11">E31*20.85%</f>
        <v>1890.4695000000002</v>
      </c>
      <c r="H31" s="10">
        <f t="shared" ref="H31:H33" si="12">F31*35.39%</f>
        <v>3290.2082999999998</v>
      </c>
      <c r="I31" s="10">
        <v>1285</v>
      </c>
      <c r="J31" s="8">
        <f t="shared" si="8"/>
        <v>6465.6777999999995</v>
      </c>
      <c r="K31" s="9">
        <f t="shared" si="9"/>
        <v>-11457.677799999999</v>
      </c>
      <c r="L31" s="10">
        <v>1187</v>
      </c>
      <c r="M31" s="10">
        <v>1230</v>
      </c>
      <c r="N31" s="10"/>
      <c r="O31" s="9">
        <f t="shared" si="10"/>
        <v>23750</v>
      </c>
    </row>
    <row r="32" spans="1:15" x14ac:dyDescent="0.25">
      <c r="A32" s="4">
        <v>26</v>
      </c>
      <c r="B32" s="4" t="s">
        <v>43</v>
      </c>
      <c r="C32" s="8">
        <v>17833</v>
      </c>
      <c r="D32" s="8">
        <v>17383</v>
      </c>
      <c r="E32" s="10">
        <v>8858</v>
      </c>
      <c r="F32" s="10">
        <v>7082</v>
      </c>
      <c r="G32" s="10">
        <f t="shared" si="11"/>
        <v>1846.8930000000003</v>
      </c>
      <c r="H32" s="10">
        <f t="shared" si="12"/>
        <v>2506.3197999999998</v>
      </c>
      <c r="I32" s="10"/>
      <c r="J32" s="8">
        <f t="shared" si="8"/>
        <v>4353.2128000000002</v>
      </c>
      <c r="K32" s="9">
        <f t="shared" si="9"/>
        <v>20561.787199999999</v>
      </c>
      <c r="L32" s="10">
        <v>1017</v>
      </c>
      <c r="M32" s="10">
        <v>810</v>
      </c>
      <c r="N32" s="10"/>
      <c r="O32" s="9">
        <f t="shared" si="10"/>
        <v>18193</v>
      </c>
    </row>
    <row r="33" spans="1:15" x14ac:dyDescent="0.25">
      <c r="A33" s="4">
        <v>27</v>
      </c>
      <c r="B33" s="4" t="s">
        <v>44</v>
      </c>
      <c r="C33" s="8">
        <v>-35072</v>
      </c>
      <c r="D33" s="8">
        <v>12835</v>
      </c>
      <c r="E33" s="10">
        <v>7088</v>
      </c>
      <c r="F33" s="10">
        <v>4723</v>
      </c>
      <c r="G33" s="10">
        <f t="shared" si="11"/>
        <v>1477.8480000000002</v>
      </c>
      <c r="H33" s="10">
        <f t="shared" si="12"/>
        <v>1671.4696999999999</v>
      </c>
      <c r="I33" s="10">
        <v>1285</v>
      </c>
      <c r="J33" s="8">
        <f t="shared" si="8"/>
        <v>4434.3176999999996</v>
      </c>
      <c r="K33" s="9">
        <f t="shared" si="9"/>
        <v>-34783.3177</v>
      </c>
      <c r="L33" s="10">
        <v>702</v>
      </c>
      <c r="M33" s="10">
        <v>543</v>
      </c>
      <c r="N33" s="10"/>
      <c r="O33" s="9">
        <f t="shared" si="10"/>
        <v>13378</v>
      </c>
    </row>
    <row r="34" spans="1:15" x14ac:dyDescent="0.25">
      <c r="A34" s="4">
        <v>28</v>
      </c>
      <c r="B34" s="4" t="s">
        <v>45</v>
      </c>
      <c r="C34" s="8">
        <v>39156</v>
      </c>
      <c r="D34" s="8">
        <v>41110</v>
      </c>
      <c r="E34" s="10">
        <v>17717</v>
      </c>
      <c r="F34" s="10">
        <v>18456</v>
      </c>
      <c r="G34" s="10">
        <f>E34*20.15%</f>
        <v>3569.9754999999996</v>
      </c>
      <c r="H34" s="10">
        <f>F34*37.14%</f>
        <v>6854.5583999999999</v>
      </c>
      <c r="I34" s="10">
        <f>4073+9098</f>
        <v>13171</v>
      </c>
      <c r="J34" s="8">
        <f t="shared" si="8"/>
        <v>23595.533899999999</v>
      </c>
      <c r="K34" s="9">
        <f t="shared" si="9"/>
        <v>34016.466100000005</v>
      </c>
      <c r="L34" s="10">
        <v>2021</v>
      </c>
      <c r="M34" s="10">
        <v>1998</v>
      </c>
      <c r="N34" s="10"/>
      <c r="O34" s="9">
        <f t="shared" si="10"/>
        <v>43108</v>
      </c>
    </row>
    <row r="35" spans="1:15" x14ac:dyDescent="0.25">
      <c r="A35" s="4">
        <v>29</v>
      </c>
      <c r="B35" s="4" t="s">
        <v>46</v>
      </c>
      <c r="C35" s="8">
        <v>48741</v>
      </c>
      <c r="D35" s="8">
        <v>38123</v>
      </c>
      <c r="E35" s="10">
        <v>18386</v>
      </c>
      <c r="F35" s="10">
        <v>18245</v>
      </c>
      <c r="G35" s="10">
        <f>E35*20.85%</f>
        <v>3833.4810000000002</v>
      </c>
      <c r="H35" s="10">
        <f>F35*35.39%</f>
        <v>6456.9054999999998</v>
      </c>
      <c r="I35" s="10">
        <v>1285</v>
      </c>
      <c r="J35" s="8">
        <f t="shared" si="8"/>
        <v>11575.386500000001</v>
      </c>
      <c r="K35" s="9">
        <f t="shared" si="9"/>
        <v>55410.613499999999</v>
      </c>
      <c r="L35" s="10">
        <v>1829</v>
      </c>
      <c r="M35" s="10">
        <v>1724</v>
      </c>
      <c r="N35" s="10"/>
      <c r="O35" s="9">
        <f t="shared" si="10"/>
        <v>39847</v>
      </c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8.75" x14ac:dyDescent="0.3">
      <c r="A37" s="23" t="s">
        <v>47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</row>
    <row r="38" spans="1:15" x14ac:dyDescent="0.25">
      <c r="A38" s="4">
        <v>30</v>
      </c>
      <c r="B38" s="4" t="s">
        <v>48</v>
      </c>
      <c r="C38" s="8">
        <v>24377</v>
      </c>
      <c r="D38" s="8">
        <v>-15460</v>
      </c>
      <c r="E38" s="10">
        <v>7994</v>
      </c>
      <c r="F38" s="10">
        <v>6241</v>
      </c>
      <c r="G38" s="10">
        <f>E38*20.98%</f>
        <v>1677.1412</v>
      </c>
      <c r="H38" s="10">
        <f>F38*30%</f>
        <v>1872.3</v>
      </c>
      <c r="I38" s="10">
        <f>7361+1230</f>
        <v>8591</v>
      </c>
      <c r="J38" s="8">
        <f>G38+H38+I38</f>
        <v>12140.441200000001</v>
      </c>
      <c r="K38" s="9">
        <f>C38+F38-J38</f>
        <v>18477.558799999999</v>
      </c>
      <c r="L38" s="10">
        <v>1019</v>
      </c>
      <c r="M38" s="10">
        <v>843</v>
      </c>
      <c r="N38" s="10"/>
      <c r="O38" s="9">
        <f>D38+M38-N38</f>
        <v>-14617</v>
      </c>
    </row>
    <row r="39" spans="1:15" x14ac:dyDescent="0.25">
      <c r="A39" s="4">
        <v>31</v>
      </c>
      <c r="B39" s="4" t="s">
        <v>49</v>
      </c>
      <c r="C39" s="8">
        <v>41303</v>
      </c>
      <c r="D39" s="8">
        <v>10420</v>
      </c>
      <c r="E39" s="10">
        <v>7452</v>
      </c>
      <c r="F39" s="10">
        <v>6676</v>
      </c>
      <c r="G39" s="10">
        <f t="shared" ref="G39:G40" si="13">E39*20.98%</f>
        <v>1563.4296000000002</v>
      </c>
      <c r="H39" s="10">
        <f t="shared" ref="H39:H40" si="14">F39*30%</f>
        <v>2002.8</v>
      </c>
      <c r="I39" s="10">
        <f>7361+1230</f>
        <v>8591</v>
      </c>
      <c r="J39" s="8">
        <f t="shared" ref="J39:J40" si="15">G39+H39+I39</f>
        <v>12157.229600000001</v>
      </c>
      <c r="K39" s="9">
        <f>C39+F39-J39</f>
        <v>35821.770400000001</v>
      </c>
      <c r="L39" s="10">
        <v>906</v>
      </c>
      <c r="M39" s="10">
        <v>902</v>
      </c>
      <c r="N39" s="10"/>
      <c r="O39" s="9">
        <f>D39+M39-N39</f>
        <v>11322</v>
      </c>
    </row>
    <row r="40" spans="1:15" x14ac:dyDescent="0.25">
      <c r="A40" s="4">
        <v>32</v>
      </c>
      <c r="B40" s="4" t="s">
        <v>60</v>
      </c>
      <c r="C40" s="8">
        <v>5919</v>
      </c>
      <c r="D40" s="8">
        <v>356</v>
      </c>
      <c r="E40" s="10">
        <v>4583</v>
      </c>
      <c r="F40" s="10">
        <v>3370</v>
      </c>
      <c r="G40" s="10">
        <f t="shared" si="13"/>
        <v>961.51340000000005</v>
      </c>
      <c r="H40" s="10">
        <f t="shared" si="14"/>
        <v>1011</v>
      </c>
      <c r="I40" s="10"/>
      <c r="J40" s="8">
        <f t="shared" si="15"/>
        <v>1972.5134</v>
      </c>
      <c r="K40" s="9">
        <f>C40+F40-J40</f>
        <v>7316.4866000000002</v>
      </c>
      <c r="L40" s="10">
        <v>639</v>
      </c>
      <c r="M40" s="10">
        <v>644</v>
      </c>
      <c r="N40" s="11"/>
      <c r="O40" s="9">
        <f>D40+M40-N40</f>
        <v>1000</v>
      </c>
    </row>
    <row r="41" spans="1:15" ht="18.75" x14ac:dyDescent="0.3">
      <c r="A41" s="23" t="s">
        <v>50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</row>
    <row r="42" spans="1:15" x14ac:dyDescent="0.25">
      <c r="A42" s="4">
        <v>33</v>
      </c>
      <c r="B42" s="4" t="s">
        <v>51</v>
      </c>
      <c r="C42" s="8">
        <v>-125244</v>
      </c>
      <c r="D42" s="8">
        <v>2249</v>
      </c>
      <c r="E42" s="10">
        <v>9340</v>
      </c>
      <c r="F42" s="10">
        <v>5811</v>
      </c>
      <c r="G42" s="10">
        <f>E42*20.85%</f>
        <v>1947.39</v>
      </c>
      <c r="H42" s="10">
        <f>F42*35.39%</f>
        <v>2056.5129000000002</v>
      </c>
      <c r="I42" s="10"/>
      <c r="J42" s="8">
        <f>G42+H42+I42</f>
        <v>4003.9029</v>
      </c>
      <c r="K42" s="9">
        <v>-123437</v>
      </c>
      <c r="L42" s="10">
        <v>895</v>
      </c>
      <c r="M42" s="10">
        <v>760</v>
      </c>
      <c r="N42" s="10"/>
      <c r="O42" s="9">
        <f>D42+M42-N42</f>
        <v>3009</v>
      </c>
    </row>
    <row r="43" spans="1:15" x14ac:dyDescent="0.25">
      <c r="A43" s="4">
        <v>34</v>
      </c>
      <c r="B43" s="4" t="s">
        <v>68</v>
      </c>
      <c r="C43" s="10"/>
      <c r="D43" s="10"/>
      <c r="E43" s="10">
        <v>1193</v>
      </c>
      <c r="F43" s="10">
        <v>1288</v>
      </c>
      <c r="G43" s="10">
        <f>E43*20.98%</f>
        <v>250.29140000000001</v>
      </c>
      <c r="H43" s="10">
        <f>F43*30%</f>
        <v>386.4</v>
      </c>
      <c r="I43" s="10">
        <v>20381</v>
      </c>
      <c r="J43" s="8">
        <f>G43+H43+I43</f>
        <v>21017.6914</v>
      </c>
      <c r="K43" s="9">
        <f>C43+F43-J43</f>
        <v>-19729.6914</v>
      </c>
      <c r="L43" s="10"/>
      <c r="M43" s="10"/>
      <c r="N43" s="10"/>
      <c r="O43" s="10"/>
    </row>
  </sheetData>
  <mergeCells count="18">
    <mergeCell ref="A37:O37"/>
    <mergeCell ref="A41:O41"/>
    <mergeCell ref="L2:L3"/>
    <mergeCell ref="M2:M3"/>
    <mergeCell ref="N2:N3"/>
    <mergeCell ref="O2:O3"/>
    <mergeCell ref="A4:O4"/>
    <mergeCell ref="A19:O19"/>
    <mergeCell ref="A1:O1"/>
    <mergeCell ref="A2:A3"/>
    <mergeCell ref="B2:B3"/>
    <mergeCell ref="C2:C3"/>
    <mergeCell ref="D2:D3"/>
    <mergeCell ref="E2:E3"/>
    <mergeCell ref="F2:F3"/>
    <mergeCell ref="G2:I2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9" sqref="A19:O19"/>
    </sheetView>
  </sheetViews>
  <sheetFormatPr defaultRowHeight="15" x14ac:dyDescent="0.25"/>
  <cols>
    <col min="2" max="2" width="30" customWidth="1"/>
    <col min="3" max="3" width="14.5703125" customWidth="1"/>
    <col min="4" max="4" width="15" customWidth="1"/>
    <col min="5" max="5" width="13.7109375" customWidth="1"/>
    <col min="6" max="6" width="15.42578125" customWidth="1"/>
    <col min="7" max="7" width="13.42578125" customWidth="1"/>
    <col min="8" max="8" width="14" customWidth="1"/>
    <col min="9" max="9" width="13.5703125" customWidth="1"/>
    <col min="10" max="10" width="16.7109375" customWidth="1"/>
    <col min="11" max="11" width="15.42578125" customWidth="1"/>
    <col min="12" max="12" width="12.85546875" customWidth="1"/>
    <col min="13" max="13" width="12.7109375" customWidth="1"/>
    <col min="14" max="14" width="16.85546875" customWidth="1"/>
    <col min="15" max="15" width="15.85546875" customWidth="1"/>
  </cols>
  <sheetData>
    <row r="1" spans="1:15" ht="30" customHeight="1" x14ac:dyDescent="0.25">
      <c r="A1" s="26" t="s">
        <v>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x14ac:dyDescent="0.25">
      <c r="A2" s="18" t="s">
        <v>0</v>
      </c>
      <c r="B2" s="18" t="s">
        <v>1</v>
      </c>
      <c r="C2" s="20" t="s">
        <v>70</v>
      </c>
      <c r="D2" s="20" t="s">
        <v>71</v>
      </c>
      <c r="E2" s="20" t="s">
        <v>2</v>
      </c>
      <c r="F2" s="20" t="s">
        <v>3</v>
      </c>
      <c r="G2" s="17" t="s">
        <v>15</v>
      </c>
      <c r="H2" s="17"/>
      <c r="I2" s="17"/>
      <c r="J2" s="20" t="s">
        <v>72</v>
      </c>
      <c r="K2" s="20" t="s">
        <v>73</v>
      </c>
      <c r="L2" s="20" t="s">
        <v>7</v>
      </c>
      <c r="M2" s="20" t="s">
        <v>8</v>
      </c>
      <c r="N2" s="20" t="s">
        <v>74</v>
      </c>
      <c r="O2" s="20" t="s">
        <v>75</v>
      </c>
    </row>
    <row r="3" spans="1:15" ht="63" x14ac:dyDescent="0.25">
      <c r="A3" s="19"/>
      <c r="B3" s="19"/>
      <c r="C3" s="21"/>
      <c r="D3" s="21"/>
      <c r="E3" s="21"/>
      <c r="F3" s="21"/>
      <c r="G3" s="1" t="s">
        <v>4</v>
      </c>
      <c r="H3" s="1" t="s">
        <v>5</v>
      </c>
      <c r="I3" s="1" t="s">
        <v>6</v>
      </c>
      <c r="J3" s="21"/>
      <c r="K3" s="21"/>
      <c r="L3" s="21"/>
      <c r="M3" s="21"/>
      <c r="N3" s="21"/>
      <c r="O3" s="21"/>
    </row>
    <row r="4" spans="1:15" ht="18.75" x14ac:dyDescent="0.3">
      <c r="A4" s="22" t="s">
        <v>16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x14ac:dyDescent="0.25">
      <c r="A5" s="4">
        <v>1</v>
      </c>
      <c r="B5" s="15" t="s">
        <v>17</v>
      </c>
      <c r="C5" s="8">
        <v>159371</v>
      </c>
      <c r="D5" s="8">
        <v>-14044</v>
      </c>
      <c r="E5" s="5">
        <v>53937</v>
      </c>
      <c r="F5" s="5">
        <v>54677</v>
      </c>
      <c r="G5" s="5">
        <f>E5*19.78%</f>
        <v>10668.738600000001</v>
      </c>
      <c r="H5" s="5">
        <f>F5*33.13%</f>
        <v>18114.490100000003</v>
      </c>
      <c r="I5" s="5">
        <f>4013+366+10313</f>
        <v>14692</v>
      </c>
      <c r="J5" s="6">
        <f>G5+H5+I5</f>
        <v>43475.228700000007</v>
      </c>
      <c r="K5" s="7">
        <f>C5+F5-J5</f>
        <v>170572.77129999999</v>
      </c>
      <c r="L5" s="5">
        <v>4973</v>
      </c>
      <c r="M5" s="5">
        <v>4706</v>
      </c>
      <c r="N5" s="5"/>
      <c r="O5" s="9">
        <f>D5+M5-N5</f>
        <v>-9338</v>
      </c>
    </row>
    <row r="6" spans="1:15" x14ac:dyDescent="0.25">
      <c r="A6" s="4">
        <v>2</v>
      </c>
      <c r="B6" s="15" t="s">
        <v>18</v>
      </c>
      <c r="C6" s="8">
        <v>6682</v>
      </c>
      <c r="D6" s="8">
        <v>31003</v>
      </c>
      <c r="E6" s="5">
        <v>22659</v>
      </c>
      <c r="F6" s="5">
        <v>22673</v>
      </c>
      <c r="G6" s="5">
        <f>E6*20.85%</f>
        <v>4724.4015000000009</v>
      </c>
      <c r="H6" s="5">
        <f>F6*35.39%</f>
        <v>8023.9746999999998</v>
      </c>
      <c r="I6" s="5">
        <f>9461</f>
        <v>9461</v>
      </c>
      <c r="J6" s="6">
        <f t="shared" ref="J6:J17" si="0">G6+H6+I6</f>
        <v>22209.376199999999</v>
      </c>
      <c r="K6" s="7">
        <f>F6+C6-J6</f>
        <v>7145.6238000000012</v>
      </c>
      <c r="L6" s="5">
        <v>2085</v>
      </c>
      <c r="M6" s="5">
        <v>2331</v>
      </c>
      <c r="N6" s="5"/>
      <c r="O6" s="7">
        <f>D6+M6</f>
        <v>33334</v>
      </c>
    </row>
    <row r="7" spans="1:15" x14ac:dyDescent="0.25">
      <c r="A7" s="4">
        <v>3</v>
      </c>
      <c r="B7" s="15" t="s">
        <v>19</v>
      </c>
      <c r="C7" s="8">
        <v>230518</v>
      </c>
      <c r="D7" s="8">
        <v>17298</v>
      </c>
      <c r="E7" s="5">
        <v>53220</v>
      </c>
      <c r="F7" s="5">
        <v>54110</v>
      </c>
      <c r="G7" s="5">
        <f>E7*19.78%</f>
        <v>10526.916000000001</v>
      </c>
      <c r="H7" s="5">
        <f>F7*33.13%</f>
        <v>17926.643000000004</v>
      </c>
      <c r="I7" s="5">
        <f>466+250+732</f>
        <v>1448</v>
      </c>
      <c r="J7" s="6">
        <f t="shared" si="0"/>
        <v>29901.559000000005</v>
      </c>
      <c r="K7" s="7">
        <f>C7+F7-J7</f>
        <v>254726.44099999999</v>
      </c>
      <c r="L7" s="5">
        <v>4530</v>
      </c>
      <c r="M7" s="5">
        <v>4729</v>
      </c>
      <c r="N7" s="5"/>
      <c r="O7" s="7">
        <f>D7+M7</f>
        <v>22027</v>
      </c>
    </row>
    <row r="8" spans="1:15" x14ac:dyDescent="0.25">
      <c r="A8" s="4">
        <v>4</v>
      </c>
      <c r="B8" s="15" t="s">
        <v>20</v>
      </c>
      <c r="C8" s="8">
        <v>-43911</v>
      </c>
      <c r="D8" s="8">
        <v>3063</v>
      </c>
      <c r="E8" s="5">
        <v>18108</v>
      </c>
      <c r="F8" s="5">
        <v>18304</v>
      </c>
      <c r="G8" s="5">
        <f>E8*20.85%</f>
        <v>3775.5180000000005</v>
      </c>
      <c r="H8" s="5">
        <f>F8*35.39%</f>
        <v>6477.7856000000002</v>
      </c>
      <c r="I8" s="5"/>
      <c r="J8" s="6">
        <f t="shared" si="0"/>
        <v>10253.303600000001</v>
      </c>
      <c r="K8" s="14">
        <f t="shared" ref="K8:K17" si="1">C8+F8-J8</f>
        <v>-35860.303599999999</v>
      </c>
      <c r="L8" s="5">
        <v>2047</v>
      </c>
      <c r="M8" s="5">
        <v>2086</v>
      </c>
      <c r="N8" s="5"/>
      <c r="O8" s="9">
        <f>D8+M8-N8</f>
        <v>5149</v>
      </c>
    </row>
    <row r="9" spans="1:15" x14ac:dyDescent="0.25">
      <c r="A9" s="4">
        <v>5</v>
      </c>
      <c r="B9" s="15" t="s">
        <v>21</v>
      </c>
      <c r="C9" s="8">
        <v>107490</v>
      </c>
      <c r="D9" s="8">
        <v>75984</v>
      </c>
      <c r="E9" s="5">
        <v>32990</v>
      </c>
      <c r="F9" s="12">
        <v>33504</v>
      </c>
      <c r="G9" s="5">
        <f>E9*19.78%</f>
        <v>6525.4220000000005</v>
      </c>
      <c r="H9" s="5">
        <f>F9*33.13%</f>
        <v>11099.8752</v>
      </c>
      <c r="I9" s="5"/>
      <c r="J9" s="6">
        <f t="shared" si="0"/>
        <v>17625.297200000001</v>
      </c>
      <c r="K9" s="9">
        <f t="shared" si="1"/>
        <v>123368.7028</v>
      </c>
      <c r="L9" s="5">
        <v>3443</v>
      </c>
      <c r="M9" s="5">
        <v>3512</v>
      </c>
      <c r="N9" s="5"/>
      <c r="O9" s="9">
        <f t="shared" ref="O9:O17" si="2">D9+M9</f>
        <v>79496</v>
      </c>
    </row>
    <row r="10" spans="1:15" x14ac:dyDescent="0.25">
      <c r="A10" s="4">
        <v>6</v>
      </c>
      <c r="B10" s="15" t="s">
        <v>22</v>
      </c>
      <c r="C10" s="8">
        <v>18668</v>
      </c>
      <c r="D10" s="8">
        <v>3927</v>
      </c>
      <c r="E10" s="5">
        <v>16551</v>
      </c>
      <c r="F10" s="5">
        <v>20066</v>
      </c>
      <c r="G10" s="5">
        <f>E10*20.51%</f>
        <v>3394.6100999999999</v>
      </c>
      <c r="H10" s="5">
        <f>F10*37.68%</f>
        <v>7560.8688000000002</v>
      </c>
      <c r="I10" s="5"/>
      <c r="J10" s="6">
        <f t="shared" si="0"/>
        <v>10955.4789</v>
      </c>
      <c r="K10" s="9">
        <f t="shared" si="1"/>
        <v>27778.521099999998</v>
      </c>
      <c r="L10" s="5">
        <v>2243</v>
      </c>
      <c r="M10" s="5">
        <v>2679</v>
      </c>
      <c r="N10" s="5">
        <v>4213</v>
      </c>
      <c r="O10" s="9">
        <f>D10+M10-N10</f>
        <v>2393</v>
      </c>
    </row>
    <row r="11" spans="1:15" x14ac:dyDescent="0.25">
      <c r="A11" s="4">
        <v>7</v>
      </c>
      <c r="B11" s="15" t="s">
        <v>23</v>
      </c>
      <c r="C11" s="8">
        <v>164180</v>
      </c>
      <c r="D11" s="8">
        <v>47180</v>
      </c>
      <c r="E11" s="5">
        <v>36339</v>
      </c>
      <c r="F11" s="5">
        <v>35094</v>
      </c>
      <c r="G11" s="5">
        <f>E11*19.54%</f>
        <v>7100.6405999999997</v>
      </c>
      <c r="H11" s="5">
        <f>F11*31.78%</f>
        <v>11152.873200000002</v>
      </c>
      <c r="I11" s="5"/>
      <c r="J11" s="6">
        <f t="shared" si="0"/>
        <v>18253.513800000001</v>
      </c>
      <c r="K11" s="9">
        <f t="shared" si="1"/>
        <v>181020.48619999998</v>
      </c>
      <c r="L11" s="5">
        <v>2450</v>
      </c>
      <c r="M11" s="5">
        <v>2263</v>
      </c>
      <c r="N11" s="5"/>
      <c r="O11" s="9">
        <f t="shared" si="2"/>
        <v>49443</v>
      </c>
    </row>
    <row r="12" spans="1:15" x14ac:dyDescent="0.25">
      <c r="A12" s="4">
        <v>8</v>
      </c>
      <c r="B12" s="15" t="s">
        <v>24</v>
      </c>
      <c r="C12" s="8">
        <v>139977</v>
      </c>
      <c r="D12" s="8">
        <v>33151</v>
      </c>
      <c r="E12" s="5">
        <v>36520</v>
      </c>
      <c r="F12" s="5">
        <v>34767</v>
      </c>
      <c r="G12" s="5">
        <f t="shared" ref="G12:G15" si="3">E12*19.54%</f>
        <v>7136.0079999999998</v>
      </c>
      <c r="H12" s="5">
        <f t="shared" ref="H12:H15" si="4">F12*31.78%</f>
        <v>11048.952600000001</v>
      </c>
      <c r="I12" s="5">
        <f>25089</f>
        <v>25089</v>
      </c>
      <c r="J12" s="6">
        <f t="shared" si="0"/>
        <v>43273.960599999999</v>
      </c>
      <c r="K12" s="9">
        <f t="shared" si="1"/>
        <v>131470.03940000001</v>
      </c>
      <c r="L12" s="5">
        <v>3099</v>
      </c>
      <c r="M12" s="5">
        <v>3094</v>
      </c>
      <c r="N12" s="5"/>
      <c r="O12" s="9">
        <f>D12+M12-N12</f>
        <v>36245</v>
      </c>
    </row>
    <row r="13" spans="1:15" x14ac:dyDescent="0.25">
      <c r="A13" s="4">
        <v>9</v>
      </c>
      <c r="B13" s="15" t="s">
        <v>25</v>
      </c>
      <c r="C13" s="8">
        <v>192046</v>
      </c>
      <c r="D13" s="8">
        <v>22406</v>
      </c>
      <c r="E13" s="5">
        <v>60483</v>
      </c>
      <c r="F13" s="5">
        <v>59607</v>
      </c>
      <c r="G13" s="5">
        <f t="shared" si="3"/>
        <v>11818.378199999999</v>
      </c>
      <c r="H13" s="5">
        <f t="shared" si="4"/>
        <v>18943.104600000002</v>
      </c>
      <c r="I13" s="5"/>
      <c r="J13" s="6">
        <f t="shared" si="0"/>
        <v>30761.482800000002</v>
      </c>
      <c r="K13" s="9">
        <f t="shared" si="1"/>
        <v>220891.5172</v>
      </c>
      <c r="L13" s="5">
        <v>5646</v>
      </c>
      <c r="M13" s="5">
        <v>5694</v>
      </c>
      <c r="N13" s="5"/>
      <c r="O13" s="9">
        <f t="shared" si="2"/>
        <v>28100</v>
      </c>
    </row>
    <row r="14" spans="1:15" x14ac:dyDescent="0.25">
      <c r="A14" s="4">
        <v>10</v>
      </c>
      <c r="B14" s="15" t="s">
        <v>26</v>
      </c>
      <c r="C14" s="8">
        <v>14462</v>
      </c>
      <c r="D14" s="8">
        <v>49756</v>
      </c>
      <c r="E14" s="5">
        <v>24207</v>
      </c>
      <c r="F14" s="5">
        <v>25531</v>
      </c>
      <c r="G14" s="5">
        <f t="shared" si="3"/>
        <v>4730.0477999999994</v>
      </c>
      <c r="H14" s="5">
        <f t="shared" si="4"/>
        <v>8113.7518000000009</v>
      </c>
      <c r="I14" s="5">
        <v>366</v>
      </c>
      <c r="J14" s="6">
        <f t="shared" si="0"/>
        <v>13209.7996</v>
      </c>
      <c r="K14" s="9">
        <f t="shared" si="1"/>
        <v>26783.200400000002</v>
      </c>
      <c r="L14" s="5">
        <v>2387</v>
      </c>
      <c r="M14" s="5">
        <v>2541</v>
      </c>
      <c r="N14" s="5">
        <v>14560</v>
      </c>
      <c r="O14" s="9">
        <f>D14+M14-N14</f>
        <v>37737</v>
      </c>
    </row>
    <row r="15" spans="1:15" x14ac:dyDescent="0.25">
      <c r="A15" s="4">
        <v>11</v>
      </c>
      <c r="B15" s="15" t="s">
        <v>27</v>
      </c>
      <c r="C15" s="8">
        <v>50835</v>
      </c>
      <c r="D15" s="8">
        <v>48992</v>
      </c>
      <c r="E15" s="5">
        <v>24031</v>
      </c>
      <c r="F15" s="5">
        <v>23573</v>
      </c>
      <c r="G15" s="5">
        <f t="shared" si="3"/>
        <v>4695.6574000000001</v>
      </c>
      <c r="H15" s="5">
        <f t="shared" si="4"/>
        <v>7491.4994000000006</v>
      </c>
      <c r="I15" s="5">
        <f>732</f>
        <v>732</v>
      </c>
      <c r="J15" s="6">
        <f t="shared" si="0"/>
        <v>12919.156800000001</v>
      </c>
      <c r="K15" s="9">
        <f t="shared" si="1"/>
        <v>61488.843200000003</v>
      </c>
      <c r="L15" s="5">
        <v>2199</v>
      </c>
      <c r="M15" s="5">
        <v>2173</v>
      </c>
      <c r="N15" s="5"/>
      <c r="O15" s="9">
        <f t="shared" si="2"/>
        <v>51165</v>
      </c>
    </row>
    <row r="16" spans="1:15" x14ac:dyDescent="0.25">
      <c r="A16" s="4">
        <v>12</v>
      </c>
      <c r="B16" s="15" t="s">
        <v>28</v>
      </c>
      <c r="C16" s="8">
        <v>80777</v>
      </c>
      <c r="D16" s="8">
        <v>47956</v>
      </c>
      <c r="E16" s="5">
        <v>21594</v>
      </c>
      <c r="F16" s="5">
        <v>23777</v>
      </c>
      <c r="G16" s="5">
        <f>E16*19.78%</f>
        <v>4271.2932000000001</v>
      </c>
      <c r="H16" s="5">
        <f>F16*33.13%</f>
        <v>7877.3201000000008</v>
      </c>
      <c r="I16" s="5"/>
      <c r="J16" s="6">
        <f t="shared" si="0"/>
        <v>12148.613300000001</v>
      </c>
      <c r="K16" s="9">
        <f t="shared" si="1"/>
        <v>92405.386700000003</v>
      </c>
      <c r="L16" s="5">
        <v>2341</v>
      </c>
      <c r="M16" s="5">
        <v>2622</v>
      </c>
      <c r="N16" s="5">
        <v>21643</v>
      </c>
      <c r="O16" s="9">
        <f>D16+M16-N16</f>
        <v>28935</v>
      </c>
    </row>
    <row r="17" spans="1:15" x14ac:dyDescent="0.25">
      <c r="A17" s="4">
        <v>13</v>
      </c>
      <c r="B17" s="15" t="s">
        <v>29</v>
      </c>
      <c r="C17" s="8">
        <v>104026</v>
      </c>
      <c r="D17" s="8">
        <v>25102</v>
      </c>
      <c r="E17" s="5">
        <v>43699</v>
      </c>
      <c r="F17" s="5">
        <v>41633</v>
      </c>
      <c r="G17" s="5">
        <f>E17*19.78%</f>
        <v>8643.6622000000007</v>
      </c>
      <c r="H17" s="5">
        <f>F17*33.13%</f>
        <v>13793.012900000002</v>
      </c>
      <c r="I17" s="5">
        <v>1882</v>
      </c>
      <c r="J17" s="6">
        <f t="shared" si="0"/>
        <v>24318.6751</v>
      </c>
      <c r="K17" s="9">
        <f t="shared" si="1"/>
        <v>121340.32490000001</v>
      </c>
      <c r="L17" s="5">
        <v>4395</v>
      </c>
      <c r="M17" s="5">
        <v>4202</v>
      </c>
      <c r="N17" s="5"/>
      <c r="O17" s="9">
        <f t="shared" si="2"/>
        <v>29304</v>
      </c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8.75" x14ac:dyDescent="0.3">
      <c r="A19" s="23" t="s">
        <v>30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/>
    </row>
    <row r="20" spans="1:15" x14ac:dyDescent="0.25">
      <c r="A20" s="4">
        <v>14</v>
      </c>
      <c r="B20" s="4" t="s">
        <v>31</v>
      </c>
      <c r="C20" s="8">
        <v>59570</v>
      </c>
      <c r="D20" s="8">
        <v>46340</v>
      </c>
      <c r="E20" s="10">
        <v>18463</v>
      </c>
      <c r="F20" s="10">
        <v>18535</v>
      </c>
      <c r="G20" s="10">
        <f>E20*20.85%</f>
        <v>3849.5355000000004</v>
      </c>
      <c r="H20" s="10">
        <f>F20*35.39%</f>
        <v>6559.5365000000002</v>
      </c>
      <c r="I20" s="10">
        <f>9597+3881+2544</f>
        <v>16022</v>
      </c>
      <c r="J20" s="8">
        <f>G20+H20+I20</f>
        <v>26431.072</v>
      </c>
      <c r="K20" s="9">
        <f>C20+F20-J20</f>
        <v>51673.928</v>
      </c>
      <c r="L20" s="10">
        <v>2417</v>
      </c>
      <c r="M20" s="10">
        <v>2452</v>
      </c>
      <c r="N20" s="10"/>
      <c r="O20" s="9">
        <f>D20+M20-N20</f>
        <v>48792</v>
      </c>
    </row>
    <row r="21" spans="1:15" x14ac:dyDescent="0.25">
      <c r="A21" s="4">
        <v>15</v>
      </c>
      <c r="B21" s="4" t="s">
        <v>36</v>
      </c>
      <c r="C21" s="8">
        <v>-6320</v>
      </c>
      <c r="D21" s="8">
        <v>48007</v>
      </c>
      <c r="E21" s="10">
        <v>25329</v>
      </c>
      <c r="F21" s="10">
        <v>25424</v>
      </c>
      <c r="G21" s="10">
        <f t="shared" ref="G21:G28" si="5">E21*20.85%</f>
        <v>5281.0965000000006</v>
      </c>
      <c r="H21" s="10">
        <f t="shared" ref="H21:H28" si="6">F21*35.39%</f>
        <v>8997.5535999999993</v>
      </c>
      <c r="I21" s="10"/>
      <c r="J21" s="8">
        <f t="shared" ref="J21:J35" si="7">G21+H21+I21</f>
        <v>14278.650099999999</v>
      </c>
      <c r="K21" s="9">
        <f t="shared" ref="K21:K35" si="8">C21+F21-J21</f>
        <v>4825.3499000000011</v>
      </c>
      <c r="L21" s="10">
        <v>3163</v>
      </c>
      <c r="M21" s="10">
        <v>3203</v>
      </c>
      <c r="N21" s="10"/>
      <c r="O21" s="9">
        <f t="shared" ref="O21:O35" si="9">D21+M21-N21</f>
        <v>51210</v>
      </c>
    </row>
    <row r="22" spans="1:15" x14ac:dyDescent="0.25">
      <c r="A22" s="4">
        <v>16</v>
      </c>
      <c r="B22" s="4" t="s">
        <v>32</v>
      </c>
      <c r="C22" s="8">
        <v>-44397</v>
      </c>
      <c r="D22" s="8">
        <v>32885</v>
      </c>
      <c r="E22" s="10">
        <v>17046</v>
      </c>
      <c r="F22" s="10">
        <v>20666</v>
      </c>
      <c r="G22" s="10">
        <f t="shared" si="5"/>
        <v>3554.0910000000003</v>
      </c>
      <c r="H22" s="10">
        <f t="shared" si="6"/>
        <v>7313.6974</v>
      </c>
      <c r="I22" s="10">
        <f>1409+732</f>
        <v>2141</v>
      </c>
      <c r="J22" s="8">
        <f t="shared" si="7"/>
        <v>13008.788400000001</v>
      </c>
      <c r="K22" s="9">
        <f t="shared" si="8"/>
        <v>-36739.788400000005</v>
      </c>
      <c r="L22" s="10">
        <v>1666</v>
      </c>
      <c r="M22" s="10">
        <v>1730</v>
      </c>
      <c r="N22" s="10"/>
      <c r="O22" s="9">
        <f t="shared" si="9"/>
        <v>34615</v>
      </c>
    </row>
    <row r="23" spans="1:15" x14ac:dyDescent="0.25">
      <c r="A23" s="4">
        <v>17</v>
      </c>
      <c r="B23" s="4" t="s">
        <v>33</v>
      </c>
      <c r="C23" s="8">
        <v>-104769</v>
      </c>
      <c r="D23" s="8">
        <v>15177</v>
      </c>
      <c r="E23" s="10">
        <v>12048</v>
      </c>
      <c r="F23" s="10">
        <v>9288</v>
      </c>
      <c r="G23" s="10">
        <f t="shared" si="5"/>
        <v>2512.0080000000003</v>
      </c>
      <c r="H23" s="10">
        <f t="shared" si="6"/>
        <v>3287.0232000000001</v>
      </c>
      <c r="I23" s="10">
        <f>366</f>
        <v>366</v>
      </c>
      <c r="J23" s="8">
        <f t="shared" si="7"/>
        <v>6165.0312000000004</v>
      </c>
      <c r="K23" s="9">
        <f t="shared" si="8"/>
        <v>-101646.0312</v>
      </c>
      <c r="L23" s="10">
        <v>737</v>
      </c>
      <c r="M23" s="10">
        <v>805</v>
      </c>
      <c r="N23" s="10"/>
      <c r="O23" s="9">
        <f t="shared" si="9"/>
        <v>15982</v>
      </c>
    </row>
    <row r="24" spans="1:15" x14ac:dyDescent="0.25">
      <c r="A24" s="4">
        <v>18</v>
      </c>
      <c r="B24" s="4" t="s">
        <v>34</v>
      </c>
      <c r="C24" s="8">
        <v>-47617</v>
      </c>
      <c r="D24" s="8">
        <v>48056</v>
      </c>
      <c r="E24" s="10">
        <v>18449</v>
      </c>
      <c r="F24" s="10">
        <v>17722</v>
      </c>
      <c r="G24" s="10">
        <f t="shared" si="5"/>
        <v>3846.6165000000005</v>
      </c>
      <c r="H24" s="10">
        <f t="shared" si="6"/>
        <v>6271.8158000000003</v>
      </c>
      <c r="I24" s="10">
        <v>4025</v>
      </c>
      <c r="J24" s="8">
        <f t="shared" si="7"/>
        <v>14143.4323</v>
      </c>
      <c r="K24" s="9">
        <f t="shared" si="8"/>
        <v>-44038.4323</v>
      </c>
      <c r="L24" s="10">
        <v>2415</v>
      </c>
      <c r="M24" s="10">
        <v>2334</v>
      </c>
      <c r="N24" s="10"/>
      <c r="O24" s="9">
        <f t="shared" si="9"/>
        <v>50390</v>
      </c>
    </row>
    <row r="25" spans="1:15" x14ac:dyDescent="0.25">
      <c r="A25" s="4">
        <v>19</v>
      </c>
      <c r="B25" s="4" t="s">
        <v>35</v>
      </c>
      <c r="C25" s="8">
        <v>75852</v>
      </c>
      <c r="D25" s="8">
        <v>38537</v>
      </c>
      <c r="E25" s="10">
        <v>18325</v>
      </c>
      <c r="F25" s="10">
        <v>18613</v>
      </c>
      <c r="G25" s="10">
        <f t="shared" si="5"/>
        <v>3820.7625000000003</v>
      </c>
      <c r="H25" s="10">
        <f t="shared" si="6"/>
        <v>6587.1406999999999</v>
      </c>
      <c r="I25" s="10"/>
      <c r="J25" s="8">
        <f t="shared" si="7"/>
        <v>10407.903200000001</v>
      </c>
      <c r="K25" s="9">
        <f t="shared" si="8"/>
        <v>84057.096799999999</v>
      </c>
      <c r="L25" s="10">
        <v>2223</v>
      </c>
      <c r="M25" s="10">
        <v>2219</v>
      </c>
      <c r="N25" s="10"/>
      <c r="O25" s="9">
        <f t="shared" si="9"/>
        <v>40756</v>
      </c>
    </row>
    <row r="26" spans="1:15" x14ac:dyDescent="0.25">
      <c r="A26" s="4">
        <v>20</v>
      </c>
      <c r="B26" s="4" t="s">
        <v>37</v>
      </c>
      <c r="C26" s="8">
        <v>22846</v>
      </c>
      <c r="D26" s="8">
        <v>35411</v>
      </c>
      <c r="E26" s="10">
        <v>18553</v>
      </c>
      <c r="F26" s="10">
        <v>17566</v>
      </c>
      <c r="G26" s="10">
        <f t="shared" si="5"/>
        <v>3868.3005000000003</v>
      </c>
      <c r="H26" s="10">
        <f t="shared" si="6"/>
        <v>6216.6073999999999</v>
      </c>
      <c r="I26" s="10"/>
      <c r="J26" s="8">
        <f t="shared" si="7"/>
        <v>10084.9079</v>
      </c>
      <c r="K26" s="9">
        <f t="shared" si="8"/>
        <v>30327.092100000002</v>
      </c>
      <c r="L26" s="10">
        <v>1605</v>
      </c>
      <c r="M26" s="10">
        <v>1637</v>
      </c>
      <c r="N26" s="10"/>
      <c r="O26" s="9">
        <f t="shared" si="9"/>
        <v>37048</v>
      </c>
    </row>
    <row r="27" spans="1:15" x14ac:dyDescent="0.25">
      <c r="A27" s="4">
        <v>21</v>
      </c>
      <c r="B27" s="4" t="s">
        <v>38</v>
      </c>
      <c r="C27" s="8">
        <v>-35357</v>
      </c>
      <c r="D27" s="8">
        <v>45674</v>
      </c>
      <c r="E27" s="10">
        <v>25891</v>
      </c>
      <c r="F27" s="10">
        <v>24062</v>
      </c>
      <c r="G27" s="10">
        <f t="shared" si="5"/>
        <v>5398.2735000000002</v>
      </c>
      <c r="H27" s="10">
        <f t="shared" si="6"/>
        <v>8515.5417999999991</v>
      </c>
      <c r="I27" s="10">
        <f>3570</f>
        <v>3570</v>
      </c>
      <c r="J27" s="8">
        <f t="shared" si="7"/>
        <v>17483.815299999998</v>
      </c>
      <c r="K27" s="9">
        <f t="shared" si="8"/>
        <v>-28778.815299999998</v>
      </c>
      <c r="L27" s="10">
        <v>2771</v>
      </c>
      <c r="M27" s="10">
        <v>2657</v>
      </c>
      <c r="N27" s="10"/>
      <c r="O27" s="9">
        <f t="shared" si="9"/>
        <v>48331</v>
      </c>
    </row>
    <row r="28" spans="1:15" x14ac:dyDescent="0.25">
      <c r="A28" s="4">
        <v>22</v>
      </c>
      <c r="B28" s="4" t="s">
        <v>39</v>
      </c>
      <c r="C28" s="8">
        <v>-12791</v>
      </c>
      <c r="D28" s="8">
        <v>56468</v>
      </c>
      <c r="E28" s="10">
        <v>25755</v>
      </c>
      <c r="F28" s="10">
        <v>24261</v>
      </c>
      <c r="G28" s="10">
        <f t="shared" si="5"/>
        <v>5369.9175000000005</v>
      </c>
      <c r="H28" s="10">
        <f t="shared" si="6"/>
        <v>8585.9678999999996</v>
      </c>
      <c r="I28" s="10">
        <f>19573</f>
        <v>19573</v>
      </c>
      <c r="J28" s="8">
        <f t="shared" si="7"/>
        <v>33528.885399999999</v>
      </c>
      <c r="K28" s="9">
        <f t="shared" si="8"/>
        <v>-22058.885399999999</v>
      </c>
      <c r="L28" s="10">
        <v>3371</v>
      </c>
      <c r="M28" s="10">
        <v>3202</v>
      </c>
      <c r="N28" s="10"/>
      <c r="O28" s="9">
        <f t="shared" si="9"/>
        <v>59670</v>
      </c>
    </row>
    <row r="29" spans="1:15" x14ac:dyDescent="0.25">
      <c r="A29" s="4">
        <v>23</v>
      </c>
      <c r="B29" s="4" t="s">
        <v>40</v>
      </c>
      <c r="C29" s="8">
        <v>-20730</v>
      </c>
      <c r="D29" s="8">
        <v>38007</v>
      </c>
      <c r="E29" s="10">
        <v>13131</v>
      </c>
      <c r="F29" s="10">
        <v>10746</v>
      </c>
      <c r="G29" s="10">
        <f>E29*20.51%</f>
        <v>2693.1680999999999</v>
      </c>
      <c r="H29" s="10">
        <f>F29*37.68%</f>
        <v>4049.0928000000004</v>
      </c>
      <c r="I29" s="10">
        <f>817</f>
        <v>817</v>
      </c>
      <c r="J29" s="8">
        <f t="shared" si="7"/>
        <v>7559.2609000000002</v>
      </c>
      <c r="K29" s="9">
        <f t="shared" si="8"/>
        <v>-17543.260900000001</v>
      </c>
      <c r="L29" s="10">
        <v>1888</v>
      </c>
      <c r="M29" s="10">
        <v>1570</v>
      </c>
      <c r="N29" s="10"/>
      <c r="O29" s="9">
        <f t="shared" si="9"/>
        <v>39577</v>
      </c>
    </row>
    <row r="30" spans="1:15" x14ac:dyDescent="0.25">
      <c r="A30" s="4">
        <v>24</v>
      </c>
      <c r="B30" s="4" t="s">
        <v>41</v>
      </c>
      <c r="C30" s="8">
        <v>113692</v>
      </c>
      <c r="D30" s="8">
        <v>25366</v>
      </c>
      <c r="E30" s="10">
        <v>16317</v>
      </c>
      <c r="F30" s="10">
        <v>13299</v>
      </c>
      <c r="G30" s="10">
        <f>E30*20.85%</f>
        <v>3402.0945000000002</v>
      </c>
      <c r="H30" s="10">
        <f>F30*35.39%</f>
        <v>4706.5160999999998</v>
      </c>
      <c r="I30" s="10"/>
      <c r="J30" s="8">
        <f t="shared" si="7"/>
        <v>8108.6106</v>
      </c>
      <c r="K30" s="9">
        <f t="shared" si="8"/>
        <v>118882.3894</v>
      </c>
      <c r="L30" s="10">
        <v>1899</v>
      </c>
      <c r="M30" s="10">
        <v>1900</v>
      </c>
      <c r="N30" s="10"/>
      <c r="O30" s="9">
        <f t="shared" si="9"/>
        <v>27266</v>
      </c>
    </row>
    <row r="31" spans="1:15" x14ac:dyDescent="0.25">
      <c r="A31" s="4">
        <v>25</v>
      </c>
      <c r="B31" s="4" t="s">
        <v>42</v>
      </c>
      <c r="C31" s="8">
        <v>-11458</v>
      </c>
      <c r="D31" s="8">
        <v>23750</v>
      </c>
      <c r="E31" s="10">
        <v>9067</v>
      </c>
      <c r="F31" s="10">
        <v>8981</v>
      </c>
      <c r="G31" s="10">
        <f t="shared" ref="G31:G33" si="10">E31*20.85%</f>
        <v>1890.4695000000002</v>
      </c>
      <c r="H31" s="10">
        <f t="shared" ref="H31:H33" si="11">F31*35.39%</f>
        <v>3178.3759</v>
      </c>
      <c r="I31" s="10"/>
      <c r="J31" s="8">
        <f t="shared" si="7"/>
        <v>5068.8454000000002</v>
      </c>
      <c r="K31" s="9">
        <f t="shared" si="8"/>
        <v>-7545.8454000000002</v>
      </c>
      <c r="L31" s="10">
        <v>1187</v>
      </c>
      <c r="M31" s="10">
        <v>1189</v>
      </c>
      <c r="N31" s="10"/>
      <c r="O31" s="9">
        <f t="shared" si="9"/>
        <v>24939</v>
      </c>
    </row>
    <row r="32" spans="1:15" x14ac:dyDescent="0.25">
      <c r="A32" s="4">
        <v>26</v>
      </c>
      <c r="B32" s="4" t="s">
        <v>43</v>
      </c>
      <c r="C32" s="8">
        <v>20562</v>
      </c>
      <c r="D32" s="8">
        <v>18193</v>
      </c>
      <c r="E32" s="10">
        <v>8858</v>
      </c>
      <c r="F32" s="10">
        <v>7650</v>
      </c>
      <c r="G32" s="10">
        <f t="shared" si="10"/>
        <v>1846.8930000000003</v>
      </c>
      <c r="H32" s="10">
        <f t="shared" si="11"/>
        <v>2707.335</v>
      </c>
      <c r="I32" s="10">
        <f>27157+6271</f>
        <v>33428</v>
      </c>
      <c r="J32" s="8">
        <f t="shared" si="7"/>
        <v>37982.228000000003</v>
      </c>
      <c r="K32" s="9">
        <f t="shared" si="8"/>
        <v>-9770.2280000000028</v>
      </c>
      <c r="L32" s="10">
        <v>1017</v>
      </c>
      <c r="M32" s="10">
        <v>867</v>
      </c>
      <c r="N32" s="10"/>
      <c r="O32" s="9">
        <f t="shared" si="9"/>
        <v>19060</v>
      </c>
    </row>
    <row r="33" spans="1:15" x14ac:dyDescent="0.25">
      <c r="A33" s="4">
        <v>27</v>
      </c>
      <c r="B33" s="4" t="s">
        <v>44</v>
      </c>
      <c r="C33" s="8">
        <v>-34783</v>
      </c>
      <c r="D33" s="8">
        <v>13378</v>
      </c>
      <c r="E33" s="10">
        <v>7088</v>
      </c>
      <c r="F33" s="10">
        <v>9453</v>
      </c>
      <c r="G33" s="10">
        <f t="shared" si="10"/>
        <v>1477.8480000000002</v>
      </c>
      <c r="H33" s="10">
        <f t="shared" si="11"/>
        <v>3345.4166999999998</v>
      </c>
      <c r="I33" s="10"/>
      <c r="J33" s="8">
        <f t="shared" si="7"/>
        <v>4823.2646999999997</v>
      </c>
      <c r="K33" s="9">
        <f t="shared" si="8"/>
        <v>-30153.2647</v>
      </c>
      <c r="L33" s="10">
        <v>702</v>
      </c>
      <c r="M33" s="10">
        <v>861</v>
      </c>
      <c r="N33" s="10"/>
      <c r="O33" s="9">
        <f t="shared" si="9"/>
        <v>14239</v>
      </c>
    </row>
    <row r="34" spans="1:15" x14ac:dyDescent="0.25">
      <c r="A34" s="4">
        <v>28</v>
      </c>
      <c r="B34" s="4" t="s">
        <v>45</v>
      </c>
      <c r="C34" s="8">
        <v>34016</v>
      </c>
      <c r="D34" s="8">
        <v>43108</v>
      </c>
      <c r="E34" s="10">
        <v>17717</v>
      </c>
      <c r="F34" s="10">
        <v>16743</v>
      </c>
      <c r="G34" s="10">
        <f>E34*20.15%</f>
        <v>3569.9754999999996</v>
      </c>
      <c r="H34" s="10">
        <f>F34*37.14%</f>
        <v>6218.3501999999999</v>
      </c>
      <c r="I34" s="10">
        <f>250+5773</f>
        <v>6023</v>
      </c>
      <c r="J34" s="8">
        <f>G34+H34+I34</f>
        <v>15811.325699999999</v>
      </c>
      <c r="K34" s="9">
        <f>C34+F34-J34</f>
        <v>34947.674299999999</v>
      </c>
      <c r="L34" s="10">
        <v>2021</v>
      </c>
      <c r="M34" s="10">
        <v>1969</v>
      </c>
      <c r="N34" s="10"/>
      <c r="O34" s="9">
        <f t="shared" si="9"/>
        <v>45077</v>
      </c>
    </row>
    <row r="35" spans="1:15" x14ac:dyDescent="0.25">
      <c r="A35" s="4">
        <v>29</v>
      </c>
      <c r="B35" s="4" t="s">
        <v>46</v>
      </c>
      <c r="C35" s="8">
        <v>55411</v>
      </c>
      <c r="D35" s="8">
        <v>39847</v>
      </c>
      <c r="E35" s="10">
        <v>18389</v>
      </c>
      <c r="F35" s="10">
        <v>18040</v>
      </c>
      <c r="G35" s="10">
        <f>E35*20.85%</f>
        <v>3834.1065000000003</v>
      </c>
      <c r="H35" s="10">
        <f>F35*35.39%</f>
        <v>6384.3559999999998</v>
      </c>
      <c r="I35" s="10"/>
      <c r="J35" s="8">
        <f t="shared" si="7"/>
        <v>10218.4625</v>
      </c>
      <c r="K35" s="9">
        <f t="shared" si="8"/>
        <v>63232.537499999999</v>
      </c>
      <c r="L35" s="10">
        <v>2002</v>
      </c>
      <c r="M35" s="10">
        <v>1958</v>
      </c>
      <c r="N35" s="10"/>
      <c r="O35" s="9">
        <f t="shared" si="9"/>
        <v>41805</v>
      </c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8.75" x14ac:dyDescent="0.3">
      <c r="A37" s="23" t="s">
        <v>47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</row>
    <row r="38" spans="1:15" x14ac:dyDescent="0.25">
      <c r="A38" s="4">
        <v>30</v>
      </c>
      <c r="B38" s="4" t="s">
        <v>48</v>
      </c>
      <c r="C38" s="8">
        <v>18478</v>
      </c>
      <c r="D38" s="8">
        <v>-14617</v>
      </c>
      <c r="E38" s="10">
        <v>7994</v>
      </c>
      <c r="F38" s="10">
        <v>8659</v>
      </c>
      <c r="G38" s="10">
        <f>E38*20.98%</f>
        <v>1677.1412</v>
      </c>
      <c r="H38" s="10">
        <f>F38*30%</f>
        <v>2597.6999999999998</v>
      </c>
      <c r="I38" s="10"/>
      <c r="J38" s="8">
        <f>G38+H38+I38</f>
        <v>4274.8411999999998</v>
      </c>
      <c r="K38" s="9">
        <f>C38+F38-J38</f>
        <v>22862.158800000001</v>
      </c>
      <c r="L38" s="10">
        <v>1019</v>
      </c>
      <c r="M38" s="10">
        <v>1115</v>
      </c>
      <c r="N38" s="10"/>
      <c r="O38" s="9">
        <f>D38+M38-N38</f>
        <v>-13502</v>
      </c>
    </row>
    <row r="39" spans="1:15" x14ac:dyDescent="0.25">
      <c r="A39" s="4">
        <v>31</v>
      </c>
      <c r="B39" s="4" t="s">
        <v>49</v>
      </c>
      <c r="C39" s="8">
        <v>35822</v>
      </c>
      <c r="D39" s="8">
        <v>11322</v>
      </c>
      <c r="E39" s="10">
        <v>7452</v>
      </c>
      <c r="F39" s="10">
        <v>6915</v>
      </c>
      <c r="G39" s="10">
        <f t="shared" ref="G39:G40" si="12">E39*20.98%</f>
        <v>1563.4296000000002</v>
      </c>
      <c r="H39" s="10">
        <f t="shared" ref="H39:H40" si="13">F39*30%</f>
        <v>2074.5</v>
      </c>
      <c r="I39" s="10"/>
      <c r="J39" s="8">
        <f t="shared" ref="J39:J40" si="14">G39+H39+I39</f>
        <v>3637.9296000000004</v>
      </c>
      <c r="K39" s="9">
        <f>C39+F39-J39</f>
        <v>39099.070399999997</v>
      </c>
      <c r="L39" s="10">
        <v>906</v>
      </c>
      <c r="M39" s="10">
        <v>856</v>
      </c>
      <c r="N39" s="10"/>
      <c r="O39" s="9">
        <f>D39+M39-N39</f>
        <v>12178</v>
      </c>
    </row>
    <row r="40" spans="1:15" x14ac:dyDescent="0.25">
      <c r="A40" s="4">
        <v>32</v>
      </c>
      <c r="B40" s="4" t="s">
        <v>60</v>
      </c>
      <c r="C40" s="8">
        <v>7316</v>
      </c>
      <c r="D40" s="8">
        <v>1000</v>
      </c>
      <c r="E40" s="10">
        <v>4583</v>
      </c>
      <c r="F40" s="10">
        <v>3653</v>
      </c>
      <c r="G40" s="10">
        <f t="shared" si="12"/>
        <v>961.51340000000005</v>
      </c>
      <c r="H40" s="10">
        <f t="shared" si="13"/>
        <v>1095.8999999999999</v>
      </c>
      <c r="I40" s="10"/>
      <c r="J40" s="8">
        <f t="shared" si="14"/>
        <v>2057.4133999999999</v>
      </c>
      <c r="K40" s="9">
        <f>C40+F40-J40</f>
        <v>8911.5866000000005</v>
      </c>
      <c r="L40" s="10">
        <v>639</v>
      </c>
      <c r="M40" s="10">
        <v>420</v>
      </c>
      <c r="N40" s="11"/>
      <c r="O40" s="9">
        <f>D40+M40-N40</f>
        <v>1420</v>
      </c>
    </row>
    <row r="41" spans="1:15" ht="18.75" x14ac:dyDescent="0.3">
      <c r="A41" s="23" t="s">
        <v>50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</row>
    <row r="42" spans="1:15" x14ac:dyDescent="0.25">
      <c r="A42" s="4">
        <v>33</v>
      </c>
      <c r="B42" s="4" t="s">
        <v>51</v>
      </c>
      <c r="C42" s="8">
        <v>-123437</v>
      </c>
      <c r="D42" s="8">
        <v>3009</v>
      </c>
      <c r="E42" s="10">
        <v>9340</v>
      </c>
      <c r="F42" s="10">
        <v>8473</v>
      </c>
      <c r="G42" s="10">
        <f>E42*20.85%</f>
        <v>1947.39</v>
      </c>
      <c r="H42" s="10">
        <f>F42*35.39%</f>
        <v>2998.5947000000001</v>
      </c>
      <c r="I42" s="10"/>
      <c r="J42" s="8">
        <f>G42+H42+I42</f>
        <v>4945.9847</v>
      </c>
      <c r="K42" s="9">
        <v>-119970</v>
      </c>
      <c r="L42" s="10">
        <v>895</v>
      </c>
      <c r="M42" s="10">
        <v>581</v>
      </c>
      <c r="N42" s="10"/>
      <c r="O42" s="9">
        <f>D42+M42-N42</f>
        <v>3590</v>
      </c>
    </row>
    <row r="43" spans="1:15" x14ac:dyDescent="0.25">
      <c r="A43" s="4">
        <v>34</v>
      </c>
      <c r="B43" s="4" t="s">
        <v>68</v>
      </c>
      <c r="C43" s="10">
        <v>-19730</v>
      </c>
      <c r="D43" s="10"/>
      <c r="E43" s="10">
        <v>1193</v>
      </c>
      <c r="F43" s="10">
        <v>400</v>
      </c>
      <c r="G43" s="10">
        <f>E43*20.98%</f>
        <v>250.29140000000001</v>
      </c>
      <c r="H43" s="10">
        <f>F43*30%</f>
        <v>120</v>
      </c>
      <c r="I43" s="10"/>
      <c r="J43" s="8">
        <f>G43+H43+I43</f>
        <v>370.29140000000001</v>
      </c>
      <c r="K43" s="9">
        <f>C43+F43-J43</f>
        <v>-19700.291399999998</v>
      </c>
      <c r="L43" s="10"/>
      <c r="M43" s="10"/>
      <c r="N43" s="10"/>
      <c r="O43" s="10"/>
    </row>
  </sheetData>
  <mergeCells count="18">
    <mergeCell ref="A37:O37"/>
    <mergeCell ref="A41:O41"/>
    <mergeCell ref="L2:L3"/>
    <mergeCell ref="M2:M3"/>
    <mergeCell ref="N2:N3"/>
    <mergeCell ref="O2:O3"/>
    <mergeCell ref="A4:O4"/>
    <mergeCell ref="A19:O19"/>
    <mergeCell ref="A1:O1"/>
    <mergeCell ref="A2:A3"/>
    <mergeCell ref="B2:B3"/>
    <mergeCell ref="C2:C3"/>
    <mergeCell ref="D2:D3"/>
    <mergeCell ref="E2:E3"/>
    <mergeCell ref="F2:F3"/>
    <mergeCell ref="G2:I2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 2013</vt:lpstr>
      <vt:lpstr>2 квартал 2013</vt:lpstr>
      <vt:lpstr>3 квартал 2013</vt:lpstr>
      <vt:lpstr>4 квартал 2013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2014-01-14T07:23:59Z</cp:lastPrinted>
  <dcterms:created xsi:type="dcterms:W3CDTF">2013-07-16T06:55:06Z</dcterms:created>
  <dcterms:modified xsi:type="dcterms:W3CDTF">2014-01-14T07:25:00Z</dcterms:modified>
</cp:coreProperties>
</file>